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Schooler Districts\Sterling Ranch MD\Budgets\2017\"/>
    </mc:Choice>
  </mc:AlternateContent>
  <bookViews>
    <workbookView xWindow="0" yWindow="0" windowWidth="20490" windowHeight="7740"/>
  </bookViews>
  <sheets>
    <sheet name="2016 Amended 2017 Budget" sheetId="1" r:id="rId1"/>
  </sheets>
  <externalReferences>
    <externalReference r:id="rId2"/>
  </externalReferences>
  <definedNames>
    <definedName name="_2000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AGLE_SHADOW_SU">#REF!</definedName>
    <definedName name="F5TC_EST">#REF!</definedName>
    <definedName name="FILING_1">#REF!</definedName>
    <definedName name="FILING_2">#REF!</definedName>
    <definedName name="FILING_2B">#REF!</definedName>
    <definedName name="FILING_3">#REF!</definedName>
    <definedName name="FILING_4B">#REF!</definedName>
    <definedName name="FILING_5">#REF!</definedName>
    <definedName name="FILING4A">#REF!</definedName>
    <definedName name="FOXRIDGE">#REF!</definedName>
    <definedName name="MACRO">#REF!</definedName>
    <definedName name="MACRO2">#REF!</definedName>
    <definedName name="MESS">#REF!</definedName>
    <definedName name="_xlnm.Print_Area">#REF!</definedName>
    <definedName name="RAW_TAP_2001">#REF!</definedName>
    <definedName name="TAP_CERT_2001">#REF!</definedName>
    <definedName name="TODD_CREEK_MEAD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F232" i="1" l="1"/>
  <c r="G197" i="1"/>
  <c r="I183" i="1"/>
  <c r="G22" i="1"/>
  <c r="I233" i="1" l="1"/>
  <c r="G236" i="1"/>
  <c r="F196" i="1"/>
  <c r="F188" i="1"/>
  <c r="F187" i="1"/>
  <c r="F186" i="1"/>
  <c r="F158" i="1"/>
  <c r="F141" i="1"/>
  <c r="F140" i="1"/>
  <c r="F139" i="1"/>
  <c r="G224" i="1" l="1"/>
  <c r="I65" i="1" l="1"/>
  <c r="I77" i="1" s="1"/>
  <c r="I48" i="1"/>
  <c r="I13" i="1" s="1"/>
  <c r="F14" i="1"/>
  <c r="F13" i="1"/>
  <c r="F272" i="1"/>
  <c r="F271" i="1"/>
  <c r="F261" i="1"/>
  <c r="F264" i="1"/>
  <c r="F263" i="1"/>
  <c r="F262" i="1"/>
  <c r="F302" i="1"/>
  <c r="F297" i="1"/>
  <c r="F296" i="1"/>
  <c r="F295" i="1"/>
  <c r="I206" i="1"/>
  <c r="F206" i="1"/>
  <c r="F165" i="1" s="1"/>
  <c r="G206" i="1"/>
  <c r="G165" i="1" s="1"/>
  <c r="I310" i="1"/>
  <c r="F310" i="1"/>
  <c r="F279" i="1" s="1"/>
  <c r="G310" i="1"/>
  <c r="G279" i="1" s="1"/>
  <c r="G35" i="1"/>
  <c r="I34" i="1" l="1"/>
  <c r="I14" i="1"/>
  <c r="I66" i="1"/>
  <c r="F34" i="1"/>
  <c r="F32" i="1"/>
  <c r="I20" i="1" l="1"/>
  <c r="I18" i="1"/>
  <c r="I17" i="1"/>
  <c r="I37" i="1" s="1"/>
  <c r="I22" i="1" l="1"/>
  <c r="G200" i="1"/>
  <c r="G154" i="1"/>
  <c r="G137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1" i="1"/>
  <c r="G100" i="1"/>
  <c r="G99" i="1"/>
  <c r="G98" i="1"/>
  <c r="G77" i="1"/>
  <c r="G76" i="1"/>
  <c r="G69" i="1"/>
  <c r="G68" i="1"/>
  <c r="G67" i="1"/>
  <c r="G66" i="1"/>
  <c r="G65" i="1"/>
  <c r="G59" i="1"/>
  <c r="H310" i="1"/>
  <c r="H295" i="1" s="1"/>
  <c r="H304" i="1"/>
  <c r="H288" i="1"/>
  <c r="H270" i="1"/>
  <c r="H254" i="1"/>
  <c r="H233" i="1"/>
  <c r="H232" i="1"/>
  <c r="H226" i="1"/>
  <c r="H215" i="1"/>
  <c r="H206" i="1"/>
  <c r="H186" i="1" s="1"/>
  <c r="H196" i="1" s="1"/>
  <c r="H202" i="1" s="1"/>
  <c r="H173" i="1"/>
  <c r="H179" i="1" s="1"/>
  <c r="H131" i="1"/>
  <c r="H122" i="1"/>
  <c r="H103" i="1"/>
  <c r="H105" i="1" s="1"/>
  <c r="H92" i="1"/>
  <c r="H79" i="1"/>
  <c r="H48" i="1" s="1"/>
  <c r="H55" i="1"/>
  <c r="H35" i="1"/>
  <c r="H43" i="1" s="1"/>
  <c r="H46" i="1" s="1"/>
  <c r="H22" i="1"/>
  <c r="H24" i="1" s="1"/>
  <c r="H45" i="1" l="1"/>
  <c r="H165" i="1"/>
  <c r="H139" i="1" s="1"/>
  <c r="H158" i="1" s="1"/>
  <c r="H161" i="1" s="1"/>
  <c r="H124" i="1"/>
  <c r="H245" i="1"/>
  <c r="H279" i="1"/>
  <c r="H262" i="1" s="1"/>
  <c r="H271" i="1" s="1"/>
  <c r="H275" i="1" s="1"/>
  <c r="H71" i="1"/>
  <c r="H73" i="1" s="1"/>
  <c r="H81" i="1" s="1"/>
  <c r="H296" i="1"/>
  <c r="H299" i="1" s="1"/>
  <c r="H302" i="1"/>
  <c r="H306" i="1" s="1"/>
  <c r="H263" i="1"/>
  <c r="H266" i="1" s="1"/>
  <c r="H187" i="1"/>
  <c r="H193" i="1" s="1"/>
  <c r="H204" i="1" s="1"/>
  <c r="F304" i="1"/>
  <c r="F303" i="1"/>
  <c r="G303" i="1" s="1"/>
  <c r="G297" i="1"/>
  <c r="G295" i="1"/>
  <c r="G273" i="1"/>
  <c r="G272" i="1"/>
  <c r="G270" i="1"/>
  <c r="G269" i="1"/>
  <c r="G264" i="1"/>
  <c r="G261" i="1"/>
  <c r="F260" i="1"/>
  <c r="F266" i="1" s="1"/>
  <c r="F243" i="1"/>
  <c r="G243" i="1" s="1"/>
  <c r="F242" i="1"/>
  <c r="G242" i="1" s="1"/>
  <c r="F241" i="1"/>
  <c r="G241" i="1" s="1"/>
  <c r="F240" i="1"/>
  <c r="G240" i="1" s="1"/>
  <c r="F239" i="1"/>
  <c r="G239" i="1" s="1"/>
  <c r="G238" i="1"/>
  <c r="G235" i="1"/>
  <c r="G234" i="1"/>
  <c r="G231" i="1"/>
  <c r="F223" i="1"/>
  <c r="G223" i="1" s="1"/>
  <c r="F222" i="1"/>
  <c r="G222" i="1" s="1"/>
  <c r="F221" i="1"/>
  <c r="G221" i="1" s="1"/>
  <c r="G199" i="1"/>
  <c r="F198" i="1"/>
  <c r="G198" i="1" s="1"/>
  <c r="G196" i="1"/>
  <c r="G191" i="1"/>
  <c r="G190" i="1"/>
  <c r="G189" i="1"/>
  <c r="G188" i="1"/>
  <c r="G186" i="1"/>
  <c r="F185" i="1"/>
  <c r="G185" i="1" s="1"/>
  <c r="F159" i="1"/>
  <c r="G159" i="1" s="1"/>
  <c r="F157" i="1"/>
  <c r="G157" i="1" s="1"/>
  <c r="F156" i="1"/>
  <c r="G156" i="1" s="1"/>
  <c r="F153" i="1"/>
  <c r="F151" i="1"/>
  <c r="F150" i="1"/>
  <c r="F149" i="1"/>
  <c r="G149" i="1" s="1"/>
  <c r="F148" i="1"/>
  <c r="F147" i="1"/>
  <c r="G147" i="1" s="1"/>
  <c r="G146" i="1"/>
  <c r="G141" i="1"/>
  <c r="G135" i="1"/>
  <c r="G41" i="1"/>
  <c r="F40" i="1"/>
  <c r="G40" i="1" s="1"/>
  <c r="G34" i="1"/>
  <c r="F33" i="1"/>
  <c r="G33" i="1" s="1"/>
  <c r="F31" i="1"/>
  <c r="F30" i="1"/>
  <c r="G30" i="1" s="1"/>
  <c r="F29" i="1"/>
  <c r="G29" i="1" s="1"/>
  <c r="F28" i="1"/>
  <c r="G28" i="1" s="1"/>
  <c r="F27" i="1"/>
  <c r="F12" i="1"/>
  <c r="F22" i="1" s="1"/>
  <c r="F9" i="1"/>
  <c r="G9" i="1" s="1"/>
  <c r="I288" i="1"/>
  <c r="G288" i="1"/>
  <c r="F288" i="1"/>
  <c r="I254" i="1"/>
  <c r="G254" i="1"/>
  <c r="F254" i="1"/>
  <c r="I215" i="1"/>
  <c r="G215" i="1"/>
  <c r="F215" i="1"/>
  <c r="I173" i="1"/>
  <c r="I179" i="1" s="1"/>
  <c r="G173" i="1"/>
  <c r="G179" i="1" s="1"/>
  <c r="F173" i="1"/>
  <c r="F179" i="1" s="1"/>
  <c r="I131" i="1"/>
  <c r="G131" i="1"/>
  <c r="F131" i="1"/>
  <c r="I92" i="1"/>
  <c r="G92" i="1"/>
  <c r="F92" i="1"/>
  <c r="I55" i="1"/>
  <c r="G55" i="1"/>
  <c r="F55" i="1"/>
  <c r="E310" i="1"/>
  <c r="E279" i="1" s="1"/>
  <c r="E304" i="1"/>
  <c r="E297" i="1"/>
  <c r="E296" i="1"/>
  <c r="E295" i="1"/>
  <c r="E270" i="1"/>
  <c r="E264" i="1"/>
  <c r="E263" i="1"/>
  <c r="E262" i="1"/>
  <c r="E232" i="1"/>
  <c r="E245" i="1" s="1"/>
  <c r="E226" i="1"/>
  <c r="E228" i="1" s="1"/>
  <c r="E206" i="1"/>
  <c r="E165" i="1" s="1"/>
  <c r="E199" i="1"/>
  <c r="E188" i="1"/>
  <c r="E187" i="1"/>
  <c r="E186" i="1"/>
  <c r="E196" i="1" s="1"/>
  <c r="E155" i="1"/>
  <c r="E141" i="1"/>
  <c r="E140" i="1"/>
  <c r="E139" i="1"/>
  <c r="E122" i="1"/>
  <c r="E103" i="1"/>
  <c r="E105" i="1" s="1"/>
  <c r="E79" i="1"/>
  <c r="E48" i="1" s="1"/>
  <c r="E35" i="1"/>
  <c r="E43" i="1" s="1"/>
  <c r="E46" i="1" s="1"/>
  <c r="E22" i="1"/>
  <c r="E24" i="1" s="1"/>
  <c r="A284" i="1"/>
  <c r="A250" i="1"/>
  <c r="A211" i="1"/>
  <c r="A170" i="1"/>
  <c r="A127" i="1"/>
  <c r="A88" i="1"/>
  <c r="A52" i="1"/>
  <c r="I35" i="1"/>
  <c r="I43" i="1" s="1"/>
  <c r="I46" i="1" s="1"/>
  <c r="F79" i="1"/>
  <c r="F48" i="1" s="1"/>
  <c r="G79" i="1"/>
  <c r="G48" i="1" s="1"/>
  <c r="I79" i="1"/>
  <c r="D103" i="1"/>
  <c r="D105" i="1" s="1"/>
  <c r="F103" i="1"/>
  <c r="F105" i="1" s="1"/>
  <c r="G103" i="1"/>
  <c r="G105" i="1" s="1"/>
  <c r="I103" i="1"/>
  <c r="I105" i="1" s="1"/>
  <c r="D122" i="1"/>
  <c r="F122" i="1"/>
  <c r="G122" i="1"/>
  <c r="I122" i="1"/>
  <c r="D139" i="1"/>
  <c r="D154" i="1"/>
  <c r="A169" i="1"/>
  <c r="A283" i="1" s="1"/>
  <c r="D186" i="1"/>
  <c r="D196" i="1" s="1"/>
  <c r="I165" i="1"/>
  <c r="I139" i="1" s="1"/>
  <c r="D226" i="1"/>
  <c r="D228" i="1" s="1"/>
  <c r="I226" i="1"/>
  <c r="D245" i="1"/>
  <c r="A249" i="1"/>
  <c r="D262" i="1"/>
  <c r="D263" i="1" s="1"/>
  <c r="I270" i="1"/>
  <c r="D295" i="1"/>
  <c r="I304" i="1"/>
  <c r="I279" i="1"/>
  <c r="I262" i="1" s="1"/>
  <c r="G262" i="1" l="1"/>
  <c r="I71" i="1"/>
  <c r="I73" i="1" s="1"/>
  <c r="I81" i="1" s="1"/>
  <c r="G139" i="1"/>
  <c r="G158" i="1"/>
  <c r="G161" i="1" s="1"/>
  <c r="G302" i="1"/>
  <c r="G306" i="1" s="1"/>
  <c r="H140" i="1"/>
  <c r="H143" i="1" s="1"/>
  <c r="H163" i="1" s="1"/>
  <c r="G296" i="1"/>
  <c r="G299" i="1" s="1"/>
  <c r="G187" i="1"/>
  <c r="G263" i="1"/>
  <c r="G266" i="1" s="1"/>
  <c r="G271" i="1"/>
  <c r="G275" i="1" s="1"/>
  <c r="G27" i="1"/>
  <c r="G43" i="1" s="1"/>
  <c r="G46" i="1" s="1"/>
  <c r="F43" i="1"/>
  <c r="F46" i="1" s="1"/>
  <c r="G24" i="1"/>
  <c r="F226" i="1"/>
  <c r="F228" i="1" s="1"/>
  <c r="G71" i="1"/>
  <c r="G73" i="1" s="1"/>
  <c r="G81" i="1" s="1"/>
  <c r="G226" i="1"/>
  <c r="G228" i="1" s="1"/>
  <c r="F24" i="1"/>
  <c r="E247" i="1"/>
  <c r="F245" i="1"/>
  <c r="G245" i="1"/>
  <c r="E45" i="1"/>
  <c r="F143" i="1"/>
  <c r="H308" i="1"/>
  <c r="H277" i="1"/>
  <c r="F71" i="1"/>
  <c r="F73" i="1" s="1"/>
  <c r="F81" i="1" s="1"/>
  <c r="D247" i="1"/>
  <c r="F124" i="1"/>
  <c r="E202" i="1"/>
  <c r="D271" i="1"/>
  <c r="D275" i="1" s="1"/>
  <c r="I245" i="1"/>
  <c r="E193" i="1"/>
  <c r="F275" i="1"/>
  <c r="G124" i="1"/>
  <c r="F299" i="1"/>
  <c r="E71" i="1"/>
  <c r="E73" i="1" s="1"/>
  <c r="E81" i="1" s="1"/>
  <c r="E143" i="1"/>
  <c r="E271" i="1"/>
  <c r="E275" i="1" s="1"/>
  <c r="D66" i="1"/>
  <c r="D187" i="1"/>
  <c r="D67" i="1" s="1"/>
  <c r="I186" i="1"/>
  <c r="F161" i="1"/>
  <c r="I124" i="1"/>
  <c r="D124" i="1"/>
  <c r="D266" i="1"/>
  <c r="F306" i="1"/>
  <c r="I295" i="1"/>
  <c r="I302" i="1" s="1"/>
  <c r="I306" i="1" s="1"/>
  <c r="F193" i="1"/>
  <c r="E124" i="1"/>
  <c r="E266" i="1"/>
  <c r="E299" i="1"/>
  <c r="E302" i="1"/>
  <c r="E306" i="1" s="1"/>
  <c r="E158" i="1"/>
  <c r="E161" i="1" s="1"/>
  <c r="I263" i="1"/>
  <c r="I266" i="1" s="1"/>
  <c r="I271" i="1"/>
  <c r="I275" i="1" s="1"/>
  <c r="D202" i="1"/>
  <c r="I158" i="1"/>
  <c r="I161" i="1" s="1"/>
  <c r="I140" i="1"/>
  <c r="D302" i="1"/>
  <c r="D306" i="1" s="1"/>
  <c r="D296" i="1"/>
  <c r="D140" i="1"/>
  <c r="F202" i="1"/>
  <c r="D158" i="1"/>
  <c r="G140" i="1" l="1"/>
  <c r="G143" i="1" s="1"/>
  <c r="G163" i="1" s="1"/>
  <c r="I143" i="1" s="1"/>
  <c r="I163" i="1" s="1"/>
  <c r="G277" i="1"/>
  <c r="G308" i="1"/>
  <c r="F247" i="1"/>
  <c r="G45" i="1"/>
  <c r="F45" i="1"/>
  <c r="I9" i="1" s="1"/>
  <c r="I24" i="1" s="1"/>
  <c r="I45" i="1" s="1"/>
  <c r="G247" i="1"/>
  <c r="E204" i="1"/>
  <c r="F277" i="1"/>
  <c r="I258" i="1" s="1"/>
  <c r="E163" i="1"/>
  <c r="F163" i="1"/>
  <c r="I277" i="1"/>
  <c r="D277" i="1"/>
  <c r="E308" i="1"/>
  <c r="F204" i="1"/>
  <c r="D71" i="1"/>
  <c r="D73" i="1" s="1"/>
  <c r="D22" i="1"/>
  <c r="D24" i="1" s="1"/>
  <c r="E277" i="1"/>
  <c r="F308" i="1"/>
  <c r="D193" i="1"/>
  <c r="D204" i="1" s="1"/>
  <c r="D143" i="1"/>
  <c r="D77" i="1"/>
  <c r="D79" i="1" s="1"/>
  <c r="I296" i="1"/>
  <c r="I299" i="1" s="1"/>
  <c r="I308" i="1" s="1"/>
  <c r="I196" i="1"/>
  <c r="I202" i="1" s="1"/>
  <c r="I187" i="1"/>
  <c r="D161" i="1"/>
  <c r="D34" i="1"/>
  <c r="D43" i="1" s="1"/>
  <c r="D46" i="1" s="1"/>
  <c r="G193" i="1"/>
  <c r="G202" i="1"/>
  <c r="D299" i="1"/>
  <c r="D308" i="1" s="1"/>
  <c r="I219" i="1" l="1"/>
  <c r="I228" i="1" s="1"/>
  <c r="I247" i="1" s="1"/>
  <c r="H228" i="1"/>
  <c r="H247" i="1" s="1"/>
  <c r="D81" i="1"/>
  <c r="D163" i="1"/>
  <c r="G204" i="1"/>
  <c r="I193" i="1" s="1"/>
  <c r="I204" i="1" s="1"/>
  <c r="D45" i="1"/>
</calcChain>
</file>

<file path=xl/comments1.xml><?xml version="1.0" encoding="utf-8"?>
<comments xmlns="http://schemas.openxmlformats.org/spreadsheetml/2006/main">
  <authors>
    <author>Kevin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UNDERDRAIN AND STREETLIGHT FEE
</t>
        </r>
      </text>
    </comment>
  </commentList>
</comments>
</file>

<file path=xl/sharedStrings.xml><?xml version="1.0" encoding="utf-8"?>
<sst xmlns="http://schemas.openxmlformats.org/spreadsheetml/2006/main" count="248" uniqueCount="92">
  <si>
    <t>TOTAL MILL LEVY</t>
  </si>
  <si>
    <t>MILL LEVY</t>
  </si>
  <si>
    <t>ASSESSED VALUATION DISTRICT 3</t>
  </si>
  <si>
    <t>ENDING FUND BALANCE</t>
  </si>
  <si>
    <t>TOTAL EXPENDITURES</t>
  </si>
  <si>
    <t>TRANSFER OUT</t>
  </si>
  <si>
    <t>MISCELLANEOUS</t>
  </si>
  <si>
    <t>CO TREASURER'S FEE</t>
  </si>
  <si>
    <t>EXPENDITURES</t>
  </si>
  <si>
    <t>TOTAL REVENUES</t>
  </si>
  <si>
    <t>D3- DELINQUENT TAX AND INTEREST</t>
  </si>
  <si>
    <t>D3- SPECIFIC OWNERSHIP TAXES</t>
  </si>
  <si>
    <t>D3- PROPERTY TAXES</t>
  </si>
  <si>
    <t>REVENUES</t>
  </si>
  <si>
    <t>DEBT SERVICE BEGINNING BALANCE</t>
  </si>
  <si>
    <t>BUDGET</t>
  </si>
  <si>
    <t>AMENDED</t>
  </si>
  <si>
    <t>ACTUAL</t>
  </si>
  <si>
    <t>DISTRICT 3 - DEBT SERVICE FUND</t>
  </si>
  <si>
    <t>TRANSFER TO DISTRICT 1 GENERAL FUND</t>
  </si>
  <si>
    <t>SDA DUES</t>
  </si>
  <si>
    <t>GENERAL LIABILITY INSURANCE</t>
  </si>
  <si>
    <t>BANK SERVICE CHARGES</t>
  </si>
  <si>
    <t>O&amp;M DISTRICT 3 (landscaping, utilities, snow removal)</t>
  </si>
  <si>
    <t>D3- PROPERTY TAXES (10 MILLS)</t>
  </si>
  <si>
    <t>DEVELOPER ADVANCE</t>
  </si>
  <si>
    <t>GENERAL FUND BEGINNING BALANCE</t>
  </si>
  <si>
    <t>DISTRICT 3 - GENERAL FUND</t>
  </si>
  <si>
    <t>REPAY DEVELOPER ADVANCES</t>
  </si>
  <si>
    <t>SEWER INFRASTRUCTURE REIMBURSEMENT</t>
  </si>
  <si>
    <t>SANITARY SEWER IGA</t>
  </si>
  <si>
    <t>WATER LINE DELIVERY</t>
  </si>
  <si>
    <t>WATER RIGHTS</t>
  </si>
  <si>
    <t>DISTRICT MANAGEMENT</t>
  </si>
  <si>
    <t>PROJECT MANAGEMENT</t>
  </si>
  <si>
    <t>LEGAL (General, Special, Condemnation)</t>
  </si>
  <si>
    <t>ENGINEERING</t>
  </si>
  <si>
    <t>CONSTRUCTION OVERSIGHT</t>
  </si>
  <si>
    <t>CAPITAL CONSTRUCTION</t>
  </si>
  <si>
    <t>FORMATION COST REIMBURSEMENT</t>
  </si>
  <si>
    <t>TOTAL REVENUE &amp; FUND BALANCE</t>
  </si>
  <si>
    <t>INTEREST INCOME</t>
  </si>
  <si>
    <t>COST RECOVERIES</t>
  </si>
  <si>
    <t>REVENUES- BONDS</t>
  </si>
  <si>
    <t>CAPITAL PROJECT FUND BEGINNING BALANCE</t>
  </si>
  <si>
    <t>DISTRICT 2 - PROJECT FUND</t>
  </si>
  <si>
    <t>STERLING RANCH METROPOLITAN DISTRICT</t>
  </si>
  <si>
    <t>ASSESSED VALUATION DISTRICT 2</t>
  </si>
  <si>
    <t>TRANSFER TO DISTRICT 1 DEBT SERVICE FUND</t>
  </si>
  <si>
    <t>COST OF ISSUANCE - BONDS</t>
  </si>
  <si>
    <t xml:space="preserve">D2- BUILDING PERMIT FEES MULTI - RES </t>
  </si>
  <si>
    <t xml:space="preserve">D2- BUILDING PERMIT FEES RESIDENTIAL </t>
  </si>
  <si>
    <t>D2- PY TAX ABATEMENT AND INTEREST</t>
  </si>
  <si>
    <t>D2- DELINQUENT TAX AND INTEREST</t>
  </si>
  <si>
    <t>D2- SPECIFIC OWNERSHIP TAXES</t>
  </si>
  <si>
    <t>D2- PROPERTY TAXES</t>
  </si>
  <si>
    <t>REVENUES - BONDS</t>
  </si>
  <si>
    <t>RESERVE FUND BEGINNING BALANCE</t>
  </si>
  <si>
    <t>DISTRICT 2 - DEBT SERVICE FUND</t>
  </si>
  <si>
    <t>MISCELLANEOUS/ENGINEERING</t>
  </si>
  <si>
    <t>TREASURER'S FEES</t>
  </si>
  <si>
    <t>AUDIT EXEMPTION</t>
  </si>
  <si>
    <t>OFFICE/POSTAGE</t>
  </si>
  <si>
    <t>DISTRICT MANAGEMENT/ACCOUNTING</t>
  </si>
  <si>
    <t>BOARD OF DIRECTORS FEE</t>
  </si>
  <si>
    <t>O&amp;M DISTRICT 2 (landscaping, utilities, snow removal)</t>
  </si>
  <si>
    <t>D2- PROPERTY TAXES (10 MILLS)</t>
  </si>
  <si>
    <t>DISTRICT 2 - GENERAL FUND</t>
  </si>
  <si>
    <t>DISTRICT 1 - PROJECT FUND</t>
  </si>
  <si>
    <t>ASSESSED VALUATION DISTRICT 1</t>
  </si>
  <si>
    <t>TREASURERS FEES</t>
  </si>
  <si>
    <t>BANK SERVICE CHARGES/BOND FEES</t>
  </si>
  <si>
    <t>REVENUE FUND BEGINNING BALANCE</t>
  </si>
  <si>
    <t>DISTRICT 1 - DEBT SERVICE FUND</t>
  </si>
  <si>
    <t>3% EMERGENGY RESERVE</t>
  </si>
  <si>
    <t>DISTRICT 1 - GENERAL FUND</t>
  </si>
  <si>
    <t xml:space="preserve"> 2016 AMENDED AND 2017 BUDGET</t>
  </si>
  <si>
    <t>as of 12/2/2016</t>
  </si>
  <si>
    <t xml:space="preserve">WATER AND WASTEWATER </t>
  </si>
  <si>
    <t>TAP FEE REVENUES</t>
  </si>
  <si>
    <t>USE REVENUES</t>
  </si>
  <si>
    <t>OTHER CHARGES</t>
  </si>
  <si>
    <t>WATER AND WASTEWATER</t>
  </si>
  <si>
    <t>TAP FEE AGREEMENTS</t>
  </si>
  <si>
    <t>OPERATIONS AND MAINTENANCE</t>
  </si>
  <si>
    <t>PUBLIC SERVICE CHARGES</t>
  </si>
  <si>
    <t>PUBLIC SERVICES (UNDERDRAIN AND STREET LIGHTS)</t>
  </si>
  <si>
    <t xml:space="preserve">D1- PROPERTY TAXES </t>
  </si>
  <si>
    <t>D1- SPECIFIC OWNERSHIP TAXES</t>
  </si>
  <si>
    <t>D1- DELINQUENT TAX AND INTEREST</t>
  </si>
  <si>
    <t>.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</si>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</sst>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_)"/>
    <numFmt numFmtId="165" formatCode="#,##0.000_);\(#,##0.000\)"/>
    <numFmt numFmtId="166" formatCode="&quot;$&quot;#,##0.00"/>
  </numFmts>
  <fonts count="18">
    <font>
      <sz val="10"/>
      <name val="Arial"/>
    </font>
    <font>
      <sz val="10"/>
      <name val="Univers Condensed"/>
      <family val="2"/>
    </font>
    <font>
      <sz val="10"/>
      <color indexed="8"/>
      <name val="Univers Condensed"/>
      <family val="2"/>
    </font>
    <font>
      <b/>
      <sz val="10"/>
      <color indexed="8"/>
      <name val="Univers Condensed"/>
      <family val="2"/>
    </font>
    <font>
      <b/>
      <sz val="10"/>
      <name val="Univers Condensed"/>
      <family val="2"/>
    </font>
    <font>
      <b/>
      <sz val="10"/>
      <color indexed="10"/>
      <name val="Univers Condensed"/>
      <family val="2"/>
    </font>
    <font>
      <sz val="24"/>
      <color indexed="10"/>
      <name val="Arial"/>
      <family val="2"/>
    </font>
    <font>
      <sz val="24"/>
      <color indexed="10"/>
      <name val="Univers Condensed"/>
      <family val="2"/>
    </font>
    <font>
      <sz val="10"/>
      <name val="Univers Condensed"/>
    </font>
    <font>
      <b/>
      <sz val="10"/>
      <color indexed="8"/>
      <name val="Univers Condensed"/>
    </font>
    <font>
      <sz val="10"/>
      <color indexed="8"/>
      <name val="Univers Condensed"/>
    </font>
    <font>
      <b/>
      <sz val="10"/>
      <name val="Univers Condensed"/>
    </font>
    <font>
      <b/>
      <sz val="10"/>
      <color indexed="10"/>
      <name val="Univers Condensed"/>
    </font>
    <font>
      <sz val="24"/>
      <color indexed="10"/>
      <name val="Arial"/>
      <family val="2"/>
    </font>
    <font>
      <sz val="24"/>
      <color indexed="10"/>
      <name val="Univers Condensed"/>
    </font>
    <font>
      <b/>
      <sz val="10"/>
      <color rgb="FFFF0000"/>
      <name val="Univers Condense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73">
    <xf numFmtId="0" fontId="0" fillId="0" borderId="0" xfId="0"/>
    <xf numFmtId="164" fontId="1" fillId="0" borderId="0" xfId="1"/>
    <xf numFmtId="165" fontId="2" fillId="0" borderId="0" xfId="1" applyNumberFormat="1" applyFont="1" applyProtection="1"/>
    <xf numFmtId="37" fontId="2" fillId="0" borderId="0" xfId="1" applyNumberFormat="1" applyFont="1" applyProtection="1"/>
    <xf numFmtId="44" fontId="3" fillId="0" borderId="1" xfId="2" applyNumberFormat="1" applyFont="1" applyBorder="1" applyProtection="1"/>
    <xf numFmtId="37" fontId="3" fillId="0" borderId="0" xfId="1" applyNumberFormat="1" applyFont="1" applyProtection="1"/>
    <xf numFmtId="44" fontId="1" fillId="0" borderId="0" xfId="1" applyNumberFormat="1"/>
    <xf numFmtId="164" fontId="1" fillId="0" borderId="0" xfId="1" applyFont="1"/>
    <xf numFmtId="44" fontId="1" fillId="0" borderId="2" xfId="2" applyNumberFormat="1" applyBorder="1"/>
    <xf numFmtId="44" fontId="2" fillId="0" borderId="0" xfId="1" applyNumberFormat="1" applyFont="1" applyProtection="1"/>
    <xf numFmtId="44" fontId="2" fillId="0" borderId="2" xfId="1" applyNumberFormat="1" applyFont="1" applyBorder="1" applyProtection="1"/>
    <xf numFmtId="44" fontId="2" fillId="0" borderId="0" xfId="1" applyNumberFormat="1" applyFont="1" applyBorder="1" applyProtection="1"/>
    <xf numFmtId="44" fontId="2" fillId="0" borderId="3" xfId="2" applyNumberFormat="1" applyFont="1" applyBorder="1" applyProtection="1"/>
    <xf numFmtId="44" fontId="2" fillId="0" borderId="2" xfId="1" applyNumberFormat="1" applyFont="1" applyFill="1" applyBorder="1" applyProtection="1"/>
    <xf numFmtId="44" fontId="3" fillId="0" borderId="3" xfId="1" applyNumberFormat="1" applyFont="1" applyFill="1" applyBorder="1" applyProtection="1"/>
    <xf numFmtId="37" fontId="2" fillId="2" borderId="0" xfId="1" applyNumberFormat="1" applyFont="1" applyFill="1" applyProtection="1"/>
    <xf numFmtId="37" fontId="3" fillId="2" borderId="0" xfId="1" applyNumberFormat="1" applyFont="1" applyFill="1" applyProtection="1"/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0" fontId="3" fillId="0" borderId="0" xfId="1" quotePrefix="1" applyNumberFormat="1" applyFont="1" applyAlignment="1" applyProtection="1">
      <alignment horizontal="center"/>
    </xf>
    <xf numFmtId="37" fontId="2" fillId="0" borderId="0" xfId="1" applyNumberFormat="1" applyFont="1" applyAlignment="1" applyProtection="1">
      <alignment horizontal="centerContinuous"/>
    </xf>
    <xf numFmtId="37" fontId="3" fillId="0" borderId="0" xfId="1" applyNumberFormat="1" applyFont="1" applyAlignment="1" applyProtection="1">
      <alignment horizontal="centerContinuous"/>
    </xf>
    <xf numFmtId="44" fontId="2" fillId="0" borderId="0" xfId="2" applyNumberFormat="1" applyFont="1" applyBorder="1" applyProtection="1"/>
    <xf numFmtId="37" fontId="2" fillId="3" borderId="0" xfId="1" applyNumberFormat="1" applyFont="1" applyFill="1" applyProtection="1"/>
    <xf numFmtId="37" fontId="3" fillId="3" borderId="0" xfId="1" applyNumberFormat="1" applyFont="1" applyFill="1" applyProtection="1"/>
    <xf numFmtId="164" fontId="8" fillId="0" borderId="0" xfId="1" applyFont="1"/>
    <xf numFmtId="44" fontId="9" fillId="0" borderId="1" xfId="1" applyNumberFormat="1" applyFont="1" applyBorder="1" applyProtection="1"/>
    <xf numFmtId="37" fontId="10" fillId="0" borderId="0" xfId="1" applyNumberFormat="1" applyFont="1" applyProtection="1"/>
    <xf numFmtId="37" fontId="9" fillId="0" borderId="0" xfId="1" applyNumberFormat="1" applyFont="1" applyProtection="1"/>
    <xf numFmtId="44" fontId="8" fillId="0" borderId="0" xfId="2" applyNumberFormat="1" applyFont="1"/>
    <xf numFmtId="44" fontId="10" fillId="0" borderId="3" xfId="1" applyNumberFormat="1" applyFont="1" applyBorder="1" applyProtection="1"/>
    <xf numFmtId="44" fontId="8" fillId="0" borderId="0" xfId="1" applyNumberFormat="1" applyFont="1"/>
    <xf numFmtId="44" fontId="10" fillId="0" borderId="2" xfId="1" applyNumberFormat="1" applyFont="1" applyBorder="1" applyProtection="1"/>
    <xf numFmtId="44" fontId="10" fillId="0" borderId="0" xfId="1" applyNumberFormat="1" applyFont="1" applyFill="1" applyProtection="1"/>
    <xf numFmtId="44" fontId="8" fillId="0" borderId="0" xfId="1" applyNumberFormat="1" applyFont="1" applyFill="1"/>
    <xf numFmtId="44" fontId="10" fillId="0" borderId="3" xfId="1" applyNumberFormat="1" applyFont="1" applyFill="1" applyBorder="1" applyProtection="1"/>
    <xf numFmtId="37" fontId="10" fillId="0" borderId="0" xfId="1" applyNumberFormat="1" applyFont="1" applyFill="1" applyProtection="1"/>
    <xf numFmtId="44" fontId="10" fillId="0" borderId="0" xfId="1" applyNumberFormat="1" applyFont="1" applyProtection="1"/>
    <xf numFmtId="44" fontId="9" fillId="0" borderId="3" xfId="1" applyNumberFormat="1" applyFont="1" applyBorder="1" applyProtection="1"/>
    <xf numFmtId="37" fontId="10" fillId="4" borderId="0" xfId="1" applyNumberFormat="1" applyFont="1" applyFill="1" applyProtection="1"/>
    <xf numFmtId="37" fontId="9" fillId="4" borderId="0" xfId="1" applyNumberFormat="1" applyFont="1" applyFill="1" applyProtection="1"/>
    <xf numFmtId="164" fontId="11" fillId="0" borderId="0" xfId="1" applyFont="1" applyAlignment="1">
      <alignment horizontal="center"/>
    </xf>
    <xf numFmtId="164" fontId="12" fillId="0" borderId="0" xfId="1" applyFont="1" applyAlignment="1">
      <alignment horizontal="center"/>
    </xf>
    <xf numFmtId="0" fontId="9" fillId="0" borderId="0" xfId="1" quotePrefix="1" applyNumberFormat="1" applyFont="1" applyAlignment="1" applyProtection="1">
      <alignment horizontal="center"/>
    </xf>
    <xf numFmtId="37" fontId="10" fillId="0" borderId="0" xfId="2" applyNumberFormat="1" applyFont="1" applyAlignment="1" applyProtection="1">
      <alignment horizontal="centerContinuous"/>
    </xf>
    <xf numFmtId="37" fontId="10" fillId="0" borderId="0" xfId="1" applyNumberFormat="1" applyFont="1" applyAlignment="1" applyProtection="1">
      <alignment horizontal="centerContinuous"/>
    </xf>
    <xf numFmtId="37" fontId="9" fillId="0" borderId="0" xfId="1" applyNumberFormat="1" applyFont="1" applyAlignment="1" applyProtection="1">
      <alignment horizontal="centerContinuous"/>
    </xf>
    <xf numFmtId="44" fontId="1" fillId="0" borderId="0" xfId="2" applyNumberFormat="1"/>
    <xf numFmtId="44" fontId="2" fillId="0" borderId="0" xfId="1" applyNumberFormat="1" applyFont="1" applyFill="1" applyProtection="1"/>
    <xf numFmtId="44" fontId="3" fillId="0" borderId="0" xfId="1" applyNumberFormat="1" applyFont="1" applyFill="1" applyProtection="1"/>
    <xf numFmtId="37" fontId="2" fillId="0" borderId="0" xfId="1" applyNumberFormat="1" applyFont="1" applyFill="1" applyProtection="1"/>
    <xf numFmtId="37" fontId="3" fillId="0" borderId="0" xfId="1" applyNumberFormat="1" applyFont="1" applyFill="1" applyProtection="1"/>
    <xf numFmtId="44" fontId="3" fillId="0" borderId="0" xfId="1" applyNumberFormat="1" applyFont="1" applyBorder="1" applyProtection="1"/>
    <xf numFmtId="44" fontId="3" fillId="0" borderId="3" xfId="1" applyNumberFormat="1" applyFont="1" applyBorder="1" applyProtection="1"/>
    <xf numFmtId="44" fontId="2" fillId="0" borderId="0" xfId="1" applyNumberFormat="1" applyFont="1" applyFill="1" applyBorder="1" applyProtection="1"/>
    <xf numFmtId="44" fontId="9" fillId="0" borderId="0" xfId="1" applyNumberFormat="1" applyFont="1" applyBorder="1" applyProtection="1"/>
    <xf numFmtId="44" fontId="3" fillId="0" borderId="1" xfId="1" applyNumberFormat="1" applyFont="1" applyBorder="1" applyProtection="1"/>
    <xf numFmtId="44" fontId="2" fillId="0" borderId="3" xfId="1" applyNumberFormat="1" applyFont="1" applyBorder="1" applyProtection="1"/>
    <xf numFmtId="44" fontId="2" fillId="0" borderId="3" xfId="1" applyNumberFormat="1" applyFont="1" applyFill="1" applyBorder="1" applyProtection="1"/>
    <xf numFmtId="44" fontId="3" fillId="0" borderId="1" xfId="1" applyNumberFormat="1" applyFont="1" applyFill="1" applyBorder="1" applyProtection="1"/>
    <xf numFmtId="44" fontId="1" fillId="0" borderId="0" xfId="1" applyNumberFormat="1" applyFill="1"/>
    <xf numFmtId="164" fontId="15" fillId="0" borderId="0" xfId="1" applyFont="1" applyAlignment="1">
      <alignment horizontal="center"/>
    </xf>
    <xf numFmtId="164" fontId="7" fillId="0" borderId="0" xfId="1" applyFont="1" applyAlignment="1"/>
    <xf numFmtId="0" fontId="6" fillId="0" borderId="0" xfId="0" applyFont="1" applyAlignment="1"/>
    <xf numFmtId="0" fontId="3" fillId="0" borderId="0" xfId="1" quotePrefix="1" applyNumberFormat="1" applyFont="1" applyAlignment="1" applyProtection="1">
      <alignment horizontal="center" vertical="center"/>
    </xf>
    <xf numFmtId="164" fontId="4" fillId="0" borderId="0" xfId="1" applyFont="1" applyAlignment="1">
      <alignment horizontal="center" vertical="center"/>
    </xf>
    <xf numFmtId="164" fontId="14" fillId="0" borderId="0" xfId="1" applyFont="1" applyAlignment="1"/>
    <xf numFmtId="0" fontId="13" fillId="0" borderId="0" xfId="0" applyFont="1" applyAlignment="1"/>
    <xf numFmtId="0" fontId="9" fillId="0" borderId="0" xfId="1" quotePrefix="1" applyNumberFormat="1" applyFont="1" applyAlignment="1" applyProtection="1">
      <alignment horizontal="center" vertical="center"/>
    </xf>
    <xf numFmtId="44" fontId="2" fillId="0" borderId="4" xfId="1" applyNumberFormat="1" applyFont="1" applyBorder="1" applyProtection="1"/>
    <xf numFmtId="39" fontId="2" fillId="0" borderId="0" xfId="1" applyNumberFormat="1" applyFont="1" applyAlignment="1" applyProtection="1">
      <alignment horizontal="centerContinuous"/>
    </xf>
    <xf numFmtId="166" fontId="1" fillId="0" borderId="0" xfId="1" applyNumberFormat="1"/>
    <xf numFmtId="166" fontId="8" fillId="0" borderId="0" xfId="1" applyNumberFormat="1" applyFont="1"/>
  </cellXfs>
  <cellStyles count="3">
    <cellStyle name="Normal" xfId="0" builtinId="0"/>
    <cellStyle name="Normal_2006 Budget CMMD" xfId="1"/>
    <cellStyle name="Normal_CentralMarksheffel2005.budg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chooler%20Districts/Sterling%20Ranch%20MD/Budgets/2016/SRMD%202015.2016%20Amend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MD2 Quarterly"/>
    </sheetNames>
    <sheetDataSet>
      <sheetData sheetId="0">
        <row r="8">
          <cell r="H8">
            <v>51.6</v>
          </cell>
        </row>
        <row r="11">
          <cell r="H11">
            <v>2750</v>
          </cell>
        </row>
        <row r="18">
          <cell r="H18"/>
        </row>
        <row r="19">
          <cell r="H19"/>
        </row>
        <row r="20">
          <cell r="H20"/>
        </row>
        <row r="21">
          <cell r="H21">
            <v>0</v>
          </cell>
        </row>
        <row r="23">
          <cell r="H23">
            <v>0</v>
          </cell>
        </row>
        <row r="25">
          <cell r="H25">
            <v>229.72</v>
          </cell>
        </row>
        <row r="26">
          <cell r="H26">
            <v>0</v>
          </cell>
        </row>
        <row r="27">
          <cell r="H27">
            <v>7.4999999999999997E-3</v>
          </cell>
        </row>
        <row r="126">
          <cell r="H126">
            <v>1098.6020000000001</v>
          </cell>
        </row>
        <row r="127">
          <cell r="H127">
            <v>107.53400000000002</v>
          </cell>
        </row>
        <row r="128">
          <cell r="H128">
            <v>36.417999999999999</v>
          </cell>
        </row>
        <row r="131">
          <cell r="H131"/>
        </row>
        <row r="132">
          <cell r="H132"/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7">
          <cell r="H137">
            <v>0</v>
          </cell>
        </row>
        <row r="139">
          <cell r="H139">
            <v>0</v>
          </cell>
        </row>
        <row r="140">
          <cell r="H140">
            <v>0</v>
          </cell>
        </row>
        <row r="142">
          <cell r="H142">
            <v>0</v>
          </cell>
        </row>
        <row r="144">
          <cell r="H144">
            <v>17.025300000000001</v>
          </cell>
        </row>
        <row r="161">
          <cell r="H161"/>
        </row>
        <row r="165">
          <cell r="H165">
            <v>4394.4080000000004</v>
          </cell>
        </row>
        <row r="166">
          <cell r="H166">
            <v>430.13600000000008</v>
          </cell>
        </row>
        <row r="167">
          <cell r="H167">
            <v>145.672</v>
          </cell>
        </row>
        <row r="174">
          <cell r="H174"/>
        </row>
        <row r="176">
          <cell r="H176">
            <v>68.101200000000006</v>
          </cell>
        </row>
        <row r="196">
          <cell r="H196"/>
        </row>
        <row r="197">
          <cell r="H197">
            <v>0</v>
          </cell>
        </row>
        <row r="198">
          <cell r="H198"/>
        </row>
        <row r="214">
          <cell r="H214">
            <v>5097.0600000000004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35">
          <cell r="H235"/>
        </row>
        <row r="239">
          <cell r="H239">
            <v>475</v>
          </cell>
        </row>
        <row r="240">
          <cell r="H240">
            <v>202.3</v>
          </cell>
        </row>
        <row r="241">
          <cell r="H241">
            <v>19.201999999999998</v>
          </cell>
        </row>
        <row r="242">
          <cell r="H242">
            <v>4.2919999999999998</v>
          </cell>
        </row>
        <row r="249">
          <cell r="H249">
            <v>3.0988799999999999</v>
          </cell>
        </row>
        <row r="250">
          <cell r="H250">
            <v>475</v>
          </cell>
        </row>
        <row r="274">
          <cell r="H274">
            <v>809.2</v>
          </cell>
        </row>
        <row r="275">
          <cell r="H275">
            <v>76.807999999999993</v>
          </cell>
        </row>
        <row r="276">
          <cell r="H276">
            <v>17.167999999999999</v>
          </cell>
        </row>
        <row r="282">
          <cell r="H282"/>
        </row>
        <row r="283">
          <cell r="H283">
            <v>0</v>
          </cell>
        </row>
        <row r="284">
          <cell r="H284">
            <v>12.395519999999999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3"/>
  </sheetPr>
  <dimension ref="A1:J323"/>
  <sheetViews>
    <sheetView tabSelected="1" topLeftCell="A38" zoomScaleNormal="100" workbookViewId="0">
      <selection activeCell="I136" sqref="I136"/>
    </sheetView>
  </sheetViews>
  <sheetFormatPr defaultColWidth="9.7109375" defaultRowHeight="12.75"/>
  <cols>
    <col min="1" max="1" width="2.7109375" style="1" customWidth="1"/>
    <col min="2" max="2" width="7.85546875" style="1" customWidth="1"/>
    <col min="3" max="3" width="42.5703125" style="1" customWidth="1"/>
    <col min="4" max="4" width="13.42578125" style="1" hidden="1" customWidth="1"/>
    <col min="5" max="9" width="15.7109375" style="1" customWidth="1"/>
    <col min="10" max="10" width="11.140625" style="1" bestFit="1" customWidth="1"/>
    <col min="11" max="16384" width="9.7109375" style="1"/>
  </cols>
  <sheetData>
    <row r="1" spans="1:9">
      <c r="A1" s="21" t="s">
        <v>46</v>
      </c>
      <c r="B1" s="20"/>
      <c r="C1" s="20"/>
      <c r="D1" s="20"/>
      <c r="E1" s="20"/>
      <c r="F1" s="20"/>
      <c r="G1" s="20"/>
      <c r="H1" s="20"/>
      <c r="I1" s="20"/>
    </row>
    <row r="2" spans="1:9">
      <c r="A2" s="21" t="s">
        <v>76</v>
      </c>
      <c r="B2" s="20"/>
      <c r="C2" s="20"/>
      <c r="D2" s="20"/>
      <c r="E2" s="20"/>
      <c r="F2" s="20"/>
      <c r="G2" s="20"/>
      <c r="H2" s="20"/>
      <c r="I2" s="20"/>
    </row>
    <row r="3" spans="1:9">
      <c r="A3" s="21" t="s">
        <v>75</v>
      </c>
      <c r="B3" s="20"/>
      <c r="C3" s="20"/>
      <c r="D3" s="20"/>
      <c r="E3" s="20"/>
      <c r="F3" s="20"/>
      <c r="G3" s="20"/>
      <c r="H3" s="20"/>
      <c r="I3" s="20"/>
    </row>
    <row r="4" spans="1:9">
      <c r="A4" s="50"/>
      <c r="B4" s="51"/>
      <c r="C4" s="50"/>
      <c r="D4" s="49"/>
      <c r="E4" s="49"/>
      <c r="F4" s="49"/>
      <c r="G4" s="49"/>
      <c r="H4" s="49"/>
      <c r="I4" s="49"/>
    </row>
    <row r="5" spans="1:9">
      <c r="A5" s="50"/>
      <c r="B5" s="51"/>
      <c r="C5" s="50"/>
      <c r="D5" s="19">
        <v>2014</v>
      </c>
      <c r="E5" s="19">
        <v>2015</v>
      </c>
      <c r="F5" s="19">
        <v>2016</v>
      </c>
      <c r="G5" s="19">
        <v>2016</v>
      </c>
      <c r="H5" s="19">
        <v>2016</v>
      </c>
      <c r="I5" s="19">
        <v>2017</v>
      </c>
    </row>
    <row r="6" spans="1:9">
      <c r="A6" s="50"/>
      <c r="B6" s="51"/>
      <c r="C6" s="50"/>
      <c r="D6" s="17" t="s">
        <v>15</v>
      </c>
      <c r="E6" s="17" t="s">
        <v>17</v>
      </c>
      <c r="F6" s="17" t="s">
        <v>17</v>
      </c>
      <c r="G6" s="17" t="s">
        <v>16</v>
      </c>
      <c r="H6" s="17" t="s">
        <v>15</v>
      </c>
      <c r="I6" s="17" t="s">
        <v>15</v>
      </c>
    </row>
    <row r="7" spans="1:9">
      <c r="A7" s="50"/>
      <c r="B7" s="51"/>
      <c r="C7" s="50"/>
      <c r="D7" s="18"/>
      <c r="E7" s="17"/>
      <c r="F7" s="61"/>
      <c r="G7" s="17" t="s">
        <v>15</v>
      </c>
      <c r="H7" s="17"/>
      <c r="I7" s="17"/>
    </row>
    <row r="8" spans="1:9">
      <c r="A8" s="3"/>
      <c r="B8" s="51"/>
      <c r="C8" s="50"/>
      <c r="D8" s="49"/>
      <c r="E8" s="49"/>
      <c r="F8" s="49"/>
      <c r="G8" s="49"/>
      <c r="H8" s="49"/>
      <c r="I8" s="49"/>
    </row>
    <row r="9" spans="1:9">
      <c r="A9" s="24" t="s">
        <v>26</v>
      </c>
      <c r="B9" s="23"/>
      <c r="C9" s="23"/>
      <c r="D9" s="14">
        <v>0</v>
      </c>
      <c r="E9" s="14">
        <v>0</v>
      </c>
      <c r="F9" s="14">
        <f>'[1]SRMD2 Quarterly'!$H$8</f>
        <v>51.6</v>
      </c>
      <c r="G9" s="14">
        <f>IF(F9&gt;H9,F9,H9)</f>
        <v>51.6</v>
      </c>
      <c r="H9" s="14">
        <v>51.6</v>
      </c>
      <c r="I9" s="14">
        <f>F45</f>
        <v>2458.3924999999999</v>
      </c>
    </row>
    <row r="10" spans="1:9">
      <c r="D10" s="6"/>
      <c r="E10" s="6"/>
      <c r="F10" s="6"/>
      <c r="G10" s="6"/>
      <c r="H10" s="6"/>
      <c r="I10" s="6"/>
    </row>
    <row r="11" spans="1:9">
      <c r="A11" s="3" t="s">
        <v>13</v>
      </c>
      <c r="B11" s="3"/>
      <c r="C11" s="3"/>
      <c r="D11" s="9"/>
      <c r="E11" s="9"/>
      <c r="F11" s="9"/>
      <c r="G11" s="9"/>
      <c r="H11" s="9"/>
      <c r="I11" s="9"/>
    </row>
    <row r="12" spans="1:9">
      <c r="A12" s="3"/>
      <c r="B12" s="50" t="s">
        <v>25</v>
      </c>
      <c r="C12" s="50"/>
      <c r="D12" s="48"/>
      <c r="E12" s="48">
        <v>800</v>
      </c>
      <c r="F12" s="48">
        <f>'[1]SRMD2 Quarterly'!$H$11</f>
        <v>2750</v>
      </c>
      <c r="G12" s="48">
        <v>2750</v>
      </c>
      <c r="H12" s="48">
        <v>3092.4</v>
      </c>
      <c r="I12" s="48">
        <v>138294</v>
      </c>
    </row>
    <row r="13" spans="1:9">
      <c r="A13" s="3"/>
      <c r="B13" s="3" t="s">
        <v>87</v>
      </c>
      <c r="C13" s="50"/>
      <c r="D13" s="48"/>
      <c r="E13" s="48"/>
      <c r="F13" s="48">
        <f>0.5</f>
        <v>0.5</v>
      </c>
      <c r="G13" s="48">
        <v>0.5</v>
      </c>
      <c r="H13" s="48"/>
      <c r="I13" s="48">
        <f>I48*I49</f>
        <v>2</v>
      </c>
    </row>
    <row r="14" spans="1:9">
      <c r="A14" s="3"/>
      <c r="B14" s="3" t="s">
        <v>88</v>
      </c>
      <c r="C14" s="50"/>
      <c r="D14" s="48"/>
      <c r="E14" s="48"/>
      <c r="F14" s="48">
        <f>0.02</f>
        <v>0.02</v>
      </c>
      <c r="G14" s="48">
        <v>0.02</v>
      </c>
      <c r="H14" s="48"/>
      <c r="I14" s="48">
        <f>I13*0.08</f>
        <v>0.16</v>
      </c>
    </row>
    <row r="15" spans="1:9">
      <c r="A15" s="3"/>
      <c r="B15" s="3" t="s">
        <v>89</v>
      </c>
      <c r="C15" s="50"/>
      <c r="D15" s="48"/>
      <c r="E15" s="48"/>
      <c r="F15" s="48"/>
      <c r="G15" s="48"/>
      <c r="H15" s="48"/>
      <c r="I15" s="48"/>
    </row>
    <row r="16" spans="1:9">
      <c r="A16" s="3"/>
      <c r="B16" s="3" t="s">
        <v>78</v>
      </c>
      <c r="C16" s="3"/>
      <c r="D16" s="11"/>
      <c r="E16" s="11"/>
      <c r="F16" s="11"/>
      <c r="G16" s="54"/>
      <c r="H16" s="11"/>
      <c r="I16" s="11"/>
    </row>
    <row r="17" spans="1:9">
      <c r="A17" s="3"/>
      <c r="B17" s="3"/>
      <c r="C17" s="3" t="s">
        <v>79</v>
      </c>
      <c r="D17" s="11"/>
      <c r="E17" s="11"/>
      <c r="F17" s="11"/>
      <c r="G17" s="54"/>
      <c r="H17" s="11"/>
      <c r="I17" s="11">
        <f>40*16000</f>
        <v>640000</v>
      </c>
    </row>
    <row r="18" spans="1:9">
      <c r="A18" s="3"/>
      <c r="B18" s="3"/>
      <c r="C18" s="3" t="s">
        <v>80</v>
      </c>
      <c r="D18" s="11"/>
      <c r="E18" s="11"/>
      <c r="F18" s="11"/>
      <c r="G18" s="54"/>
      <c r="H18" s="11"/>
      <c r="I18" s="11">
        <f>6800+15000+3200</f>
        <v>25000</v>
      </c>
    </row>
    <row r="19" spans="1:9">
      <c r="A19" s="3"/>
      <c r="B19" s="3"/>
      <c r="C19" s="3" t="s">
        <v>81</v>
      </c>
      <c r="D19" s="11"/>
      <c r="E19" s="11"/>
      <c r="F19" s="11"/>
      <c r="G19" s="54"/>
      <c r="H19" s="11"/>
      <c r="I19" s="11">
        <v>22000</v>
      </c>
    </row>
    <row r="20" spans="1:9">
      <c r="A20" s="3"/>
      <c r="B20" s="3" t="s">
        <v>85</v>
      </c>
      <c r="C20" s="3"/>
      <c r="D20" s="11"/>
      <c r="E20" s="11"/>
      <c r="F20" s="11"/>
      <c r="G20" s="54"/>
      <c r="H20" s="11"/>
      <c r="I20" s="11">
        <f>80*(3+10)</f>
        <v>1040</v>
      </c>
    </row>
    <row r="21" spans="1:9">
      <c r="A21" s="3"/>
      <c r="B21" s="3"/>
      <c r="C21" s="3"/>
      <c r="D21" s="11"/>
      <c r="E21" s="11"/>
      <c r="F21" s="11"/>
      <c r="G21" s="54"/>
      <c r="H21" s="11"/>
      <c r="I21" s="11"/>
    </row>
    <row r="22" spans="1:9">
      <c r="A22" s="3"/>
      <c r="B22" s="3"/>
      <c r="C22" s="3" t="s">
        <v>9</v>
      </c>
      <c r="D22" s="9">
        <f>SUM(D11:D12)</f>
        <v>0</v>
      </c>
      <c r="E22" s="69">
        <f>SUM(E11:E12)</f>
        <v>800</v>
      </c>
      <c r="F22" s="69">
        <f>SUM(F11:F21)</f>
        <v>2750.52</v>
      </c>
      <c r="G22" s="69">
        <f>SUM(G11:G21)</f>
        <v>2750.52</v>
      </c>
      <c r="H22" s="69">
        <f>SUM(H11:H12)</f>
        <v>3092.4</v>
      </c>
      <c r="I22" s="69">
        <f>SUM(I11:I21)</f>
        <v>826336.16</v>
      </c>
    </row>
    <row r="23" spans="1:9">
      <c r="A23" s="3"/>
      <c r="C23" s="3"/>
      <c r="D23" s="57"/>
      <c r="E23" s="57"/>
      <c r="F23" s="57"/>
      <c r="G23" s="57"/>
      <c r="H23" s="57"/>
      <c r="I23" s="57"/>
    </row>
    <row r="24" spans="1:9">
      <c r="A24" s="3" t="s">
        <v>40</v>
      </c>
      <c r="B24" s="3"/>
      <c r="C24" s="3"/>
      <c r="D24" s="57">
        <f t="shared" ref="D24:I24" si="0">D22+D9</f>
        <v>0</v>
      </c>
      <c r="E24" s="57">
        <f t="shared" si="0"/>
        <v>800</v>
      </c>
      <c r="F24" s="57">
        <f t="shared" si="0"/>
        <v>2802.12</v>
      </c>
      <c r="G24" s="57">
        <f t="shared" si="0"/>
        <v>2802.12</v>
      </c>
      <c r="H24" s="57">
        <f t="shared" si="0"/>
        <v>3144</v>
      </c>
      <c r="I24" s="57">
        <f t="shared" si="0"/>
        <v>828794.55249999999</v>
      </c>
    </row>
    <row r="25" spans="1:9">
      <c r="D25" s="6"/>
      <c r="E25" s="6"/>
      <c r="F25" s="6"/>
      <c r="G25" s="6"/>
      <c r="H25" s="6"/>
      <c r="I25" s="6"/>
    </row>
    <row r="26" spans="1:9">
      <c r="A26" s="3" t="s">
        <v>8</v>
      </c>
      <c r="B26" s="3"/>
      <c r="C26" s="3"/>
      <c r="D26" s="9"/>
      <c r="E26" s="9"/>
      <c r="F26" s="9"/>
      <c r="G26" s="9"/>
      <c r="H26" s="9"/>
      <c r="I26" s="9"/>
    </row>
    <row r="27" spans="1:9">
      <c r="A27" s="3"/>
      <c r="B27" s="3" t="s">
        <v>64</v>
      </c>
      <c r="C27" s="3"/>
      <c r="D27" s="48"/>
      <c r="E27" s="48"/>
      <c r="F27" s="48">
        <f>'[1]SRMD2 Quarterly'!$H$18</f>
        <v>0</v>
      </c>
      <c r="G27" s="48">
        <f t="shared" ref="G27:G41" si="1">IF(F27&gt;H27,F27,H27)</f>
        <v>0</v>
      </c>
      <c r="H27" s="48"/>
      <c r="I27" s="48"/>
    </row>
    <row r="28" spans="1:9">
      <c r="A28" s="3"/>
      <c r="B28" s="3" t="s">
        <v>63</v>
      </c>
      <c r="C28" s="3"/>
      <c r="D28" s="48"/>
      <c r="E28" s="48">
        <v>0</v>
      </c>
      <c r="F28" s="48">
        <f>'[1]SRMD2 Quarterly'!$H$19</f>
        <v>0</v>
      </c>
      <c r="G28" s="48">
        <f t="shared" si="1"/>
        <v>0</v>
      </c>
      <c r="H28" s="48">
        <v>0</v>
      </c>
      <c r="I28" s="48">
        <v>16000</v>
      </c>
    </row>
    <row r="29" spans="1:9">
      <c r="A29" s="3"/>
      <c r="B29" s="3" t="s">
        <v>62</v>
      </c>
      <c r="C29" s="3"/>
      <c r="D29" s="9"/>
      <c r="E29" s="9"/>
      <c r="F29" s="9">
        <f>'[1]SRMD2 Quarterly'!$H$20</f>
        <v>0</v>
      </c>
      <c r="G29" s="48">
        <f t="shared" si="1"/>
        <v>0</v>
      </c>
      <c r="H29" s="9"/>
      <c r="I29" s="9"/>
    </row>
    <row r="30" spans="1:9">
      <c r="A30" s="3"/>
      <c r="B30" s="3" t="s">
        <v>61</v>
      </c>
      <c r="C30" s="3"/>
      <c r="D30" s="9"/>
      <c r="E30" s="9">
        <v>0</v>
      </c>
      <c r="F30" s="9">
        <f>'[1]SRMD2 Quarterly'!$H$20</f>
        <v>0</v>
      </c>
      <c r="G30" s="48">
        <f t="shared" si="1"/>
        <v>0</v>
      </c>
      <c r="H30" s="9">
        <v>0</v>
      </c>
      <c r="I30" s="9">
        <v>0</v>
      </c>
    </row>
    <row r="31" spans="1:9">
      <c r="A31" s="3"/>
      <c r="B31" s="3" t="s">
        <v>21</v>
      </c>
      <c r="C31" s="3"/>
      <c r="D31" s="9"/>
      <c r="E31" s="9">
        <v>250</v>
      </c>
      <c r="F31" s="9">
        <f>'[1]SRMD2 Quarterly'!$H$21</f>
        <v>0</v>
      </c>
      <c r="G31" s="48">
        <v>0</v>
      </c>
      <c r="H31" s="9">
        <v>2500</v>
      </c>
      <c r="I31" s="9">
        <v>2500</v>
      </c>
    </row>
    <row r="32" spans="1:9">
      <c r="A32" s="3"/>
      <c r="B32" s="3" t="s">
        <v>20</v>
      </c>
      <c r="C32" s="3"/>
      <c r="D32" s="48"/>
      <c r="E32" s="48">
        <v>426.4</v>
      </c>
      <c r="F32" s="48">
        <f>'[1]SRMD2 Quarterly'!$H$25</f>
        <v>229.72</v>
      </c>
      <c r="G32" s="48">
        <v>229.72</v>
      </c>
      <c r="H32" s="48">
        <v>500</v>
      </c>
      <c r="I32" s="48">
        <v>500</v>
      </c>
    </row>
    <row r="33" spans="1:10">
      <c r="A33" s="3"/>
      <c r="B33" s="27" t="s">
        <v>35</v>
      </c>
      <c r="C33" s="3"/>
      <c r="D33" s="48"/>
      <c r="E33" s="48">
        <v>0</v>
      </c>
      <c r="F33" s="48">
        <f>'[1]SRMD2 Quarterly'!$H$23</f>
        <v>0</v>
      </c>
      <c r="G33" s="48">
        <f t="shared" si="1"/>
        <v>0</v>
      </c>
      <c r="H33" s="48">
        <v>0</v>
      </c>
      <c r="I33" s="48">
        <v>7500</v>
      </c>
    </row>
    <row r="34" spans="1:10">
      <c r="A34" s="3"/>
      <c r="B34" s="3" t="s">
        <v>60</v>
      </c>
      <c r="C34" s="3"/>
      <c r="D34" s="9">
        <f>D158+D271</f>
        <v>0</v>
      </c>
      <c r="E34" s="9">
        <v>0</v>
      </c>
      <c r="F34" s="9">
        <f>'[1]SRMD2 Quarterly'!$H$27</f>
        <v>7.4999999999999997E-3</v>
      </c>
      <c r="G34" s="48">
        <f t="shared" si="1"/>
        <v>7.4999999999999997E-3</v>
      </c>
      <c r="H34" s="9">
        <v>0</v>
      </c>
      <c r="I34" s="9">
        <f>I13*1.5%</f>
        <v>0.03</v>
      </c>
    </row>
    <row r="35" spans="1:10">
      <c r="A35" s="3"/>
      <c r="B35" s="3" t="s">
        <v>22</v>
      </c>
      <c r="C35" s="3"/>
      <c r="D35" s="9"/>
      <c r="E35" s="9">
        <f>12+12+12+12+12+12</f>
        <v>72</v>
      </c>
      <c r="F35" s="9">
        <v>114</v>
      </c>
      <c r="G35" s="48">
        <f>90+24</f>
        <v>114</v>
      </c>
      <c r="H35" s="9">
        <f>12*12</f>
        <v>144</v>
      </c>
      <c r="I35" s="9">
        <f>12*12</f>
        <v>144</v>
      </c>
    </row>
    <row r="36" spans="1:10">
      <c r="A36" s="3"/>
      <c r="B36" s="3" t="s">
        <v>82</v>
      </c>
      <c r="C36" s="3"/>
      <c r="D36" s="9"/>
      <c r="E36" s="9"/>
      <c r="F36" s="9"/>
      <c r="G36" s="48"/>
      <c r="H36" s="9"/>
      <c r="I36" s="9"/>
    </row>
    <row r="37" spans="1:10">
      <c r="A37" s="3"/>
      <c r="B37" s="3"/>
      <c r="C37" s="3" t="s">
        <v>83</v>
      </c>
      <c r="D37" s="9"/>
      <c r="E37" s="9"/>
      <c r="F37" s="9"/>
      <c r="G37" s="48"/>
      <c r="H37" s="9"/>
      <c r="I37" s="9">
        <f>I17</f>
        <v>640000</v>
      </c>
    </row>
    <row r="38" spans="1:10">
      <c r="A38" s="3"/>
      <c r="B38" s="3"/>
      <c r="C38" s="3" t="s">
        <v>84</v>
      </c>
      <c r="D38" s="9"/>
      <c r="E38" s="9"/>
      <c r="F38" s="9"/>
      <c r="G38" s="48"/>
      <c r="H38" s="9"/>
      <c r="I38" s="9">
        <v>161150.51999999999</v>
      </c>
    </row>
    <row r="39" spans="1:10">
      <c r="A39" s="3"/>
      <c r="B39" s="3" t="s">
        <v>86</v>
      </c>
      <c r="C39" s="3"/>
      <c r="D39" s="9"/>
      <c r="E39" s="9"/>
      <c r="F39" s="9"/>
      <c r="G39" s="48"/>
      <c r="H39" s="9"/>
      <c r="I39" s="9">
        <v>1000</v>
      </c>
    </row>
    <row r="40" spans="1:10">
      <c r="A40" s="3"/>
      <c r="B40" s="3" t="s">
        <v>28</v>
      </c>
      <c r="C40" s="3"/>
      <c r="D40" s="9"/>
      <c r="E40" s="9"/>
      <c r="F40" s="9">
        <f>'[1]SRMD2 Quarterly'!$H$26</f>
        <v>0</v>
      </c>
      <c r="G40" s="48">
        <f t="shared" si="1"/>
        <v>0</v>
      </c>
      <c r="H40" s="9"/>
      <c r="I40" s="9"/>
    </row>
    <row r="41" spans="1:10">
      <c r="A41" s="3"/>
      <c r="B41" s="3" t="s">
        <v>59</v>
      </c>
      <c r="C41" s="3"/>
      <c r="D41" s="10"/>
      <c r="E41" s="10"/>
      <c r="F41" s="10"/>
      <c r="G41" s="13">
        <f t="shared" si="1"/>
        <v>0</v>
      </c>
      <c r="H41" s="10"/>
      <c r="I41" s="10"/>
    </row>
    <row r="42" spans="1:10">
      <c r="D42" s="6"/>
      <c r="E42" s="6"/>
      <c r="F42" s="6"/>
      <c r="G42" s="6"/>
      <c r="H42" s="6"/>
      <c r="I42" s="6"/>
    </row>
    <row r="43" spans="1:10">
      <c r="A43" s="3"/>
      <c r="B43" s="3"/>
      <c r="C43" s="3" t="s">
        <v>4</v>
      </c>
      <c r="D43" s="12">
        <f t="shared" ref="D43:I43" si="2">SUM(D27:D42)</f>
        <v>0</v>
      </c>
      <c r="E43" s="12">
        <f t="shared" si="2"/>
        <v>748.4</v>
      </c>
      <c r="F43" s="12">
        <f>SUM(F27:F42)</f>
        <v>343.72749999999996</v>
      </c>
      <c r="G43" s="12">
        <f t="shared" si="2"/>
        <v>343.72749999999996</v>
      </c>
      <c r="H43" s="12">
        <f t="shared" ref="H43" si="3">SUM(H27:H42)</f>
        <v>3144</v>
      </c>
      <c r="I43" s="12">
        <f t="shared" si="2"/>
        <v>828794.55</v>
      </c>
    </row>
    <row r="44" spans="1:10">
      <c r="D44" s="60"/>
      <c r="E44" s="60"/>
      <c r="F44" s="60"/>
      <c r="G44" s="60"/>
      <c r="H44" s="60"/>
      <c r="I44" s="60"/>
    </row>
    <row r="45" spans="1:10" ht="13.5" thickBot="1">
      <c r="A45" s="5" t="s">
        <v>3</v>
      </c>
      <c r="B45" s="3"/>
      <c r="C45" s="3"/>
      <c r="D45" s="59">
        <f t="shared" ref="D45:I45" si="4">D24-D43</f>
        <v>0</v>
      </c>
      <c r="E45" s="59">
        <f t="shared" si="4"/>
        <v>51.600000000000023</v>
      </c>
      <c r="F45" s="59">
        <f t="shared" si="4"/>
        <v>2458.3924999999999</v>
      </c>
      <c r="G45" s="59">
        <f t="shared" si="4"/>
        <v>2458.3924999999999</v>
      </c>
      <c r="H45" s="59">
        <f t="shared" ref="H45" si="5">H24-H43</f>
        <v>0</v>
      </c>
      <c r="I45" s="59">
        <f t="shared" si="4"/>
        <v>2.4999999441206455E-3</v>
      </c>
      <c r="J45" s="71"/>
    </row>
    <row r="46" spans="1:10" ht="13.5" thickTop="1">
      <c r="A46" s="3"/>
      <c r="B46" s="3" t="s">
        <v>74</v>
      </c>
      <c r="C46" s="3"/>
      <c r="D46" s="11">
        <f t="shared" ref="D46:I46" si="6">D43*0.03</f>
        <v>0</v>
      </c>
      <c r="E46" s="11">
        <f t="shared" si="6"/>
        <v>22.451999999999998</v>
      </c>
      <c r="F46" s="11">
        <f t="shared" si="6"/>
        <v>10.311824999999999</v>
      </c>
      <c r="G46" s="11">
        <f t="shared" si="6"/>
        <v>10.311824999999999</v>
      </c>
      <c r="H46" s="11">
        <f t="shared" ref="H46" si="7">H43*0.03</f>
        <v>94.32</v>
      </c>
      <c r="I46" s="11">
        <f t="shared" si="6"/>
        <v>24863.836500000001</v>
      </c>
      <c r="J46" s="71"/>
    </row>
    <row r="47" spans="1:10">
      <c r="A47" s="3"/>
      <c r="B47" s="3"/>
      <c r="C47" s="3"/>
      <c r="D47" s="11"/>
      <c r="E47" s="11"/>
      <c r="F47" s="11"/>
      <c r="G47" s="11"/>
      <c r="H47" s="11"/>
      <c r="I47" s="11"/>
    </row>
    <row r="48" spans="1:10">
      <c r="A48" s="3"/>
      <c r="B48" s="3" t="s">
        <v>69</v>
      </c>
      <c r="C48" s="3"/>
      <c r="D48" s="2"/>
      <c r="E48" s="2">
        <f>E79</f>
        <v>0</v>
      </c>
      <c r="F48" s="2">
        <f>F79</f>
        <v>0</v>
      </c>
      <c r="G48" s="2">
        <f>G79</f>
        <v>0</v>
      </c>
      <c r="H48" s="2">
        <f>H79</f>
        <v>0</v>
      </c>
      <c r="I48" s="2">
        <f>I83</f>
        <v>0.2</v>
      </c>
    </row>
    <row r="49" spans="1:9">
      <c r="A49" s="3"/>
      <c r="B49" s="3" t="s">
        <v>1</v>
      </c>
      <c r="C49" s="3"/>
      <c r="D49" s="2"/>
      <c r="E49" s="2">
        <v>10</v>
      </c>
      <c r="F49" s="2">
        <v>10</v>
      </c>
      <c r="G49" s="2">
        <v>10</v>
      </c>
      <c r="H49" s="2">
        <v>10</v>
      </c>
      <c r="I49" s="2">
        <v>10</v>
      </c>
    </row>
    <row r="50" spans="1:9">
      <c r="A50" s="3"/>
      <c r="B50" s="3"/>
      <c r="C50" s="3"/>
      <c r="D50" s="11"/>
      <c r="E50" s="11"/>
      <c r="F50" s="11"/>
      <c r="G50" s="11"/>
      <c r="H50" s="11"/>
      <c r="I50" s="11"/>
    </row>
    <row r="51" spans="1:9">
      <c r="A51" s="21" t="s">
        <v>46</v>
      </c>
      <c r="B51" s="20"/>
      <c r="C51" s="20"/>
      <c r="D51" s="20"/>
      <c r="E51" s="20"/>
      <c r="F51" s="20"/>
      <c r="G51" s="20"/>
      <c r="H51" s="20"/>
      <c r="I51" s="20"/>
    </row>
    <row r="52" spans="1:9">
      <c r="A52" s="21" t="str">
        <f>A2</f>
        <v xml:space="preserve"> 2016 AMENDED AND 2017 BUDGET</v>
      </c>
      <c r="B52" s="20"/>
      <c r="C52" s="20"/>
      <c r="D52" s="20"/>
      <c r="E52" s="20"/>
      <c r="F52" s="20"/>
      <c r="G52" s="20"/>
      <c r="H52" s="20"/>
      <c r="I52" s="20"/>
    </row>
    <row r="53" spans="1:9">
      <c r="A53" s="21" t="s">
        <v>73</v>
      </c>
      <c r="B53" s="20"/>
      <c r="C53" s="20"/>
      <c r="D53" s="20"/>
      <c r="E53" s="20"/>
      <c r="F53" s="20"/>
      <c r="G53" s="20"/>
      <c r="H53" s="20"/>
      <c r="I53" s="20"/>
    </row>
    <row r="54" spans="1:9" ht="12.75" customHeight="1">
      <c r="C54" s="62"/>
      <c r="D54" s="18"/>
      <c r="E54" s="18"/>
      <c r="F54" s="18"/>
      <c r="G54" s="18"/>
      <c r="H54" s="18"/>
      <c r="I54" s="18"/>
    </row>
    <row r="55" spans="1:9" ht="12.75" customHeight="1">
      <c r="A55" s="3"/>
      <c r="B55" s="3"/>
      <c r="C55" s="63"/>
      <c r="D55" s="19">
        <v>2014</v>
      </c>
      <c r="E55" s="64">
        <v>2015</v>
      </c>
      <c r="F55" s="64">
        <f>F5</f>
        <v>2016</v>
      </c>
      <c r="G55" s="64">
        <f>G5</f>
        <v>2016</v>
      </c>
      <c r="H55" s="64">
        <f>H5</f>
        <v>2016</v>
      </c>
      <c r="I55" s="64">
        <f>I5</f>
        <v>2017</v>
      </c>
    </row>
    <row r="56" spans="1:9" ht="12.75" customHeight="1">
      <c r="A56" s="3"/>
      <c r="B56" s="3"/>
      <c r="C56" s="63"/>
      <c r="D56" s="17" t="s">
        <v>15</v>
      </c>
      <c r="E56" s="65" t="s">
        <v>17</v>
      </c>
      <c r="F56" s="65" t="s">
        <v>17</v>
      </c>
      <c r="G56" s="65" t="s">
        <v>16</v>
      </c>
      <c r="H56" s="65" t="s">
        <v>15</v>
      </c>
      <c r="I56" s="65" t="s">
        <v>15</v>
      </c>
    </row>
    <row r="57" spans="1:9">
      <c r="D57" s="18"/>
      <c r="E57" s="17"/>
      <c r="F57" s="61"/>
      <c r="G57" s="17"/>
      <c r="H57" s="17"/>
      <c r="I57" s="17"/>
    </row>
    <row r="58" spans="1:9">
      <c r="D58" s="18"/>
      <c r="E58" s="17"/>
      <c r="F58" s="17"/>
      <c r="G58" s="17"/>
      <c r="H58" s="17"/>
      <c r="I58" s="17"/>
    </row>
    <row r="59" spans="1:9">
      <c r="A59" s="16" t="s">
        <v>57</v>
      </c>
      <c r="B59" s="15"/>
      <c r="C59" s="15"/>
      <c r="D59" s="53">
        <v>0</v>
      </c>
      <c r="E59" s="53">
        <v>0</v>
      </c>
      <c r="F59" s="53"/>
      <c r="G59" s="13">
        <f t="shared" ref="G59" si="8">IF(F59&gt;H59,F59,H59)</f>
        <v>0</v>
      </c>
      <c r="H59" s="53">
        <v>0</v>
      </c>
      <c r="I59" s="53">
        <v>0</v>
      </c>
    </row>
    <row r="60" spans="1:9">
      <c r="D60" s="18"/>
      <c r="E60" s="17"/>
      <c r="F60" s="17"/>
      <c r="G60" s="17"/>
      <c r="H60" s="17"/>
      <c r="I60" s="17"/>
    </row>
    <row r="61" spans="1:9">
      <c r="D61" s="18"/>
      <c r="E61" s="17"/>
      <c r="F61" s="17"/>
      <c r="G61" s="17"/>
      <c r="H61" s="17"/>
      <c r="I61" s="17"/>
    </row>
    <row r="62" spans="1:9">
      <c r="D62" s="17"/>
      <c r="E62" s="17"/>
      <c r="F62" s="17"/>
      <c r="G62" s="17"/>
      <c r="H62" s="17"/>
      <c r="I62" s="17"/>
    </row>
    <row r="63" spans="1:9">
      <c r="A63" s="16" t="s">
        <v>72</v>
      </c>
      <c r="B63" s="15"/>
      <c r="C63" s="15"/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</row>
    <row r="64" spans="1:9">
      <c r="D64" s="6"/>
      <c r="E64" s="6"/>
      <c r="F64" s="6"/>
      <c r="G64" s="6"/>
      <c r="H64" s="6"/>
      <c r="I64" s="6"/>
    </row>
    <row r="65" spans="1:9">
      <c r="A65" s="3" t="s">
        <v>56</v>
      </c>
      <c r="B65" s="3"/>
      <c r="C65" s="3"/>
      <c r="D65" s="9"/>
      <c r="E65" s="9">
        <v>0</v>
      </c>
      <c r="F65" s="9">
        <v>0</v>
      </c>
      <c r="G65" s="48">
        <f t="shared" ref="G65:G69" si="9">IF(F65&gt;H65,F65,H65)</f>
        <v>0</v>
      </c>
      <c r="H65" s="9">
        <v>0</v>
      </c>
      <c r="I65" s="9">
        <f>I83*I84</f>
        <v>8</v>
      </c>
    </row>
    <row r="66" spans="1:9">
      <c r="A66" s="3"/>
      <c r="B66" s="3" t="s">
        <v>87</v>
      </c>
      <c r="C66" s="3"/>
      <c r="D66" s="9">
        <f>D186</f>
        <v>0</v>
      </c>
      <c r="E66" s="9">
        <v>0</v>
      </c>
      <c r="F66" s="9">
        <v>0</v>
      </c>
      <c r="G66" s="48">
        <f t="shared" si="9"/>
        <v>0</v>
      </c>
      <c r="H66" s="9">
        <v>0</v>
      </c>
      <c r="I66" s="9">
        <f>I65*0.08</f>
        <v>0.64</v>
      </c>
    </row>
    <row r="67" spans="1:9">
      <c r="A67" s="3"/>
      <c r="B67" s="3" t="s">
        <v>88</v>
      </c>
      <c r="C67" s="3"/>
      <c r="D67" s="9">
        <f>D187</f>
        <v>0</v>
      </c>
      <c r="E67" s="9">
        <v>0</v>
      </c>
      <c r="F67" s="9">
        <v>0</v>
      </c>
      <c r="G67" s="48">
        <f t="shared" si="9"/>
        <v>0</v>
      </c>
      <c r="H67" s="9">
        <v>0</v>
      </c>
      <c r="I67" s="9">
        <v>0</v>
      </c>
    </row>
    <row r="68" spans="1:9">
      <c r="A68" s="3"/>
      <c r="B68" s="3" t="s">
        <v>89</v>
      </c>
      <c r="C68" s="3"/>
      <c r="D68" s="9"/>
      <c r="E68" s="9">
        <v>0</v>
      </c>
      <c r="F68" s="9">
        <v>0</v>
      </c>
      <c r="G68" s="48">
        <f t="shared" si="9"/>
        <v>0</v>
      </c>
      <c r="H68" s="9">
        <v>0</v>
      </c>
      <c r="I68" s="9">
        <v>0</v>
      </c>
    </row>
    <row r="69" spans="1:9">
      <c r="A69" s="3"/>
      <c r="B69" s="3" t="s">
        <v>41</v>
      </c>
      <c r="C69" s="3"/>
      <c r="D69" s="58"/>
      <c r="E69" s="58">
        <v>0</v>
      </c>
      <c r="F69" s="58">
        <v>0</v>
      </c>
      <c r="G69" s="13">
        <f t="shared" si="9"/>
        <v>0</v>
      </c>
      <c r="H69" s="58">
        <v>0</v>
      </c>
      <c r="I69" s="58">
        <v>0</v>
      </c>
    </row>
    <row r="70" spans="1:9">
      <c r="D70" s="6"/>
      <c r="E70" s="6"/>
      <c r="F70" s="6"/>
      <c r="G70" s="6"/>
      <c r="H70" s="6"/>
      <c r="I70" s="6"/>
    </row>
    <row r="71" spans="1:9">
      <c r="A71" s="3"/>
      <c r="B71" s="3"/>
      <c r="C71" s="3" t="s">
        <v>9</v>
      </c>
      <c r="D71" s="57">
        <f t="shared" ref="D71:I71" si="10">SUM(D65:D69)</f>
        <v>0</v>
      </c>
      <c r="E71" s="57">
        <f t="shared" si="10"/>
        <v>0</v>
      </c>
      <c r="F71" s="57">
        <f t="shared" si="10"/>
        <v>0</v>
      </c>
      <c r="G71" s="57">
        <f t="shared" si="10"/>
        <v>0</v>
      </c>
      <c r="H71" s="57">
        <f t="shared" si="10"/>
        <v>0</v>
      </c>
      <c r="I71" s="57">
        <f t="shared" si="10"/>
        <v>8.64</v>
      </c>
    </row>
    <row r="72" spans="1:9">
      <c r="D72" s="6"/>
      <c r="E72" s="6"/>
      <c r="F72" s="6"/>
      <c r="G72" s="6"/>
      <c r="H72" s="6"/>
      <c r="I72" s="6"/>
    </row>
    <row r="73" spans="1:9">
      <c r="A73" s="3" t="s">
        <v>40</v>
      </c>
      <c r="B73" s="3"/>
      <c r="C73" s="3"/>
      <c r="D73" s="57">
        <f t="shared" ref="D73:I73" si="11">D71+D63</f>
        <v>0</v>
      </c>
      <c r="E73" s="57">
        <f t="shared" si="11"/>
        <v>0</v>
      </c>
      <c r="F73" s="57">
        <f t="shared" si="11"/>
        <v>0</v>
      </c>
      <c r="G73" s="57">
        <f t="shared" si="11"/>
        <v>0</v>
      </c>
      <c r="H73" s="57">
        <f t="shared" si="11"/>
        <v>0</v>
      </c>
      <c r="I73" s="57">
        <f t="shared" si="11"/>
        <v>8.64</v>
      </c>
    </row>
    <row r="74" spans="1:9">
      <c r="D74" s="6"/>
      <c r="E74" s="6"/>
      <c r="F74" s="6"/>
      <c r="G74" s="6"/>
      <c r="H74" s="6"/>
      <c r="I74" s="6"/>
    </row>
    <row r="75" spans="1:9">
      <c r="A75" s="3" t="s">
        <v>8</v>
      </c>
      <c r="B75" s="3"/>
      <c r="C75" s="3"/>
      <c r="D75" s="9"/>
      <c r="E75" s="9"/>
      <c r="F75" s="9"/>
      <c r="G75" s="9"/>
      <c r="H75" s="9"/>
      <c r="I75" s="9"/>
    </row>
    <row r="76" spans="1:9">
      <c r="A76" s="3"/>
      <c r="B76" s="3" t="s">
        <v>71</v>
      </c>
      <c r="C76" s="3"/>
      <c r="D76" s="9">
        <v>0</v>
      </c>
      <c r="E76" s="9">
        <v>0</v>
      </c>
      <c r="F76" s="9">
        <v>0</v>
      </c>
      <c r="G76" s="48">
        <f t="shared" ref="G76:G77" si="12">IF(F76&gt;H76,F76,H76)</f>
        <v>0</v>
      </c>
      <c r="H76" s="9">
        <v>0</v>
      </c>
      <c r="I76" s="9">
        <v>0</v>
      </c>
    </row>
    <row r="77" spans="1:9">
      <c r="A77" s="3"/>
      <c r="B77" s="3" t="s">
        <v>70</v>
      </c>
      <c r="C77" s="3"/>
      <c r="D77" s="11">
        <f>D196+D302</f>
        <v>0</v>
      </c>
      <c r="E77" s="10">
        <v>0</v>
      </c>
      <c r="F77" s="10">
        <v>0</v>
      </c>
      <c r="G77" s="13">
        <f t="shared" si="12"/>
        <v>0</v>
      </c>
      <c r="H77" s="10">
        <v>0</v>
      </c>
      <c r="I77" s="10">
        <f>I65*1.5%</f>
        <v>0.12</v>
      </c>
    </row>
    <row r="78" spans="1:9">
      <c r="D78" s="6"/>
      <c r="E78" s="6"/>
      <c r="F78" s="6"/>
      <c r="G78" s="6"/>
      <c r="H78" s="6"/>
      <c r="I78" s="6"/>
    </row>
    <row r="79" spans="1:9">
      <c r="A79" s="3"/>
      <c r="B79" s="3"/>
      <c r="C79" s="7" t="s">
        <v>4</v>
      </c>
      <c r="D79" s="12">
        <f t="shared" ref="D79:I79" si="13">SUM(D76:D77)</f>
        <v>0</v>
      </c>
      <c r="E79" s="12">
        <f t="shared" si="13"/>
        <v>0</v>
      </c>
      <c r="F79" s="12">
        <f t="shared" si="13"/>
        <v>0</v>
      </c>
      <c r="G79" s="12">
        <f t="shared" si="13"/>
        <v>0</v>
      </c>
      <c r="H79" s="12">
        <f t="shared" si="13"/>
        <v>0</v>
      </c>
      <c r="I79" s="12">
        <f t="shared" si="13"/>
        <v>0.12</v>
      </c>
    </row>
    <row r="80" spans="1:9">
      <c r="D80" s="6"/>
      <c r="E80" s="6"/>
      <c r="F80" s="6"/>
      <c r="G80" s="6"/>
      <c r="H80" s="6"/>
      <c r="I80" s="6"/>
    </row>
    <row r="81" spans="1:9" ht="13.5" thickBot="1">
      <c r="A81" s="5" t="s">
        <v>3</v>
      </c>
      <c r="B81" s="3"/>
      <c r="C81" s="3"/>
      <c r="D81" s="56">
        <f t="shared" ref="D81:I81" si="14">D73-D79</f>
        <v>0</v>
      </c>
      <c r="E81" s="56">
        <f t="shared" si="14"/>
        <v>0</v>
      </c>
      <c r="F81" s="56">
        <f t="shared" si="14"/>
        <v>0</v>
      </c>
      <c r="G81" s="56">
        <f t="shared" si="14"/>
        <v>0</v>
      </c>
      <c r="H81" s="56">
        <f t="shared" si="14"/>
        <v>0</v>
      </c>
      <c r="I81" s="56">
        <f t="shared" si="14"/>
        <v>8.5200000000000014</v>
      </c>
    </row>
    <row r="82" spans="1:9" ht="13.5" thickTop="1">
      <c r="A82" s="3"/>
      <c r="B82" s="3"/>
      <c r="C82" s="3"/>
      <c r="D82" s="11"/>
      <c r="E82" s="11"/>
      <c r="F82" s="11"/>
      <c r="G82" s="11"/>
      <c r="H82" s="11"/>
      <c r="I82" s="11"/>
    </row>
    <row r="83" spans="1:9">
      <c r="A83" s="3"/>
      <c r="B83" s="3" t="s">
        <v>69</v>
      </c>
      <c r="C83" s="3"/>
      <c r="D83" s="2"/>
      <c r="E83" s="2">
        <v>0</v>
      </c>
      <c r="F83" s="2">
        <v>0</v>
      </c>
      <c r="G83" s="2">
        <v>0</v>
      </c>
      <c r="H83" s="2">
        <v>0</v>
      </c>
      <c r="I83" s="2">
        <v>0.2</v>
      </c>
    </row>
    <row r="84" spans="1:9">
      <c r="A84" s="3"/>
      <c r="B84" s="3" t="s">
        <v>1</v>
      </c>
      <c r="C84" s="3"/>
      <c r="D84" s="2"/>
      <c r="E84" s="2">
        <v>0</v>
      </c>
      <c r="F84" s="2">
        <v>0</v>
      </c>
      <c r="G84" s="2">
        <v>0</v>
      </c>
      <c r="H84" s="2">
        <v>40</v>
      </c>
      <c r="I84" s="2">
        <v>40</v>
      </c>
    </row>
    <row r="85" spans="1:9">
      <c r="A85" s="3"/>
      <c r="B85" s="3" t="s">
        <v>0</v>
      </c>
      <c r="C85" s="3"/>
      <c r="D85" s="2"/>
      <c r="E85" s="2">
        <v>0</v>
      </c>
      <c r="F85" s="2">
        <v>0</v>
      </c>
      <c r="G85" s="2">
        <v>0</v>
      </c>
      <c r="H85" s="2">
        <v>50</v>
      </c>
      <c r="I85" s="2">
        <v>50</v>
      </c>
    </row>
    <row r="86" spans="1:9">
      <c r="A86" s="3"/>
      <c r="B86" s="3"/>
      <c r="C86" s="3"/>
      <c r="D86" s="11"/>
      <c r="E86" s="11"/>
      <c r="F86" s="11"/>
      <c r="G86" s="11"/>
      <c r="H86" s="11"/>
      <c r="I86" s="11"/>
    </row>
    <row r="87" spans="1:9" hidden="1">
      <c r="A87" s="21" t="s">
        <v>46</v>
      </c>
      <c r="B87" s="20"/>
      <c r="C87" s="20"/>
      <c r="D87" s="20"/>
      <c r="E87" s="20"/>
      <c r="F87" s="20"/>
      <c r="G87" s="20"/>
      <c r="H87" s="20"/>
      <c r="I87" s="20"/>
    </row>
    <row r="88" spans="1:9" hidden="1">
      <c r="A88" s="21" t="str">
        <f>A2</f>
        <v xml:space="preserve"> 2016 AMENDED AND 2017 BUDGET</v>
      </c>
      <c r="B88" s="20"/>
      <c r="C88" s="20"/>
      <c r="D88" s="20"/>
      <c r="E88" s="20"/>
      <c r="F88" s="20"/>
      <c r="G88" s="20"/>
      <c r="H88" s="20"/>
      <c r="I88" s="20"/>
    </row>
    <row r="89" spans="1:9" hidden="1">
      <c r="A89" s="21" t="s">
        <v>68</v>
      </c>
      <c r="B89" s="20"/>
      <c r="C89" s="20"/>
      <c r="D89" s="20"/>
      <c r="E89" s="20"/>
      <c r="F89" s="20"/>
      <c r="G89" s="20"/>
      <c r="H89" s="20"/>
      <c r="I89" s="20"/>
    </row>
    <row r="90" spans="1:9" s="25" customFormat="1" hidden="1">
      <c r="A90" s="46"/>
      <c r="B90" s="45"/>
      <c r="C90" s="45"/>
      <c r="D90" s="44"/>
      <c r="E90" s="44"/>
      <c r="F90" s="44"/>
      <c r="G90" s="44"/>
      <c r="H90" s="44"/>
      <c r="I90" s="44"/>
    </row>
    <row r="91" spans="1:9" s="25" customFormat="1" ht="12.75" hidden="1" customHeight="1">
      <c r="C91" s="66"/>
    </row>
    <row r="92" spans="1:9" s="25" customFormat="1" ht="12.75" hidden="1" customHeight="1">
      <c r="A92" s="27"/>
      <c r="B92" s="27"/>
      <c r="C92" s="67"/>
      <c r="D92" s="43">
        <v>2014</v>
      </c>
      <c r="E92" s="68">
        <v>2015</v>
      </c>
      <c r="F92" s="68">
        <f>F5</f>
        <v>2016</v>
      </c>
      <c r="G92" s="68">
        <f>G5</f>
        <v>2016</v>
      </c>
      <c r="H92" s="64">
        <f>H5</f>
        <v>2016</v>
      </c>
      <c r="I92" s="64">
        <f>I5</f>
        <v>2017</v>
      </c>
    </row>
    <row r="93" spans="1:9" s="25" customFormat="1" ht="12.75" hidden="1" customHeight="1">
      <c r="A93" s="27"/>
      <c r="B93" s="27"/>
      <c r="C93" s="67"/>
      <c r="D93" s="41" t="s">
        <v>15</v>
      </c>
      <c r="E93" s="65" t="s">
        <v>17</v>
      </c>
      <c r="F93" s="65" t="s">
        <v>17</v>
      </c>
      <c r="G93" s="65" t="s">
        <v>16</v>
      </c>
      <c r="H93" s="65" t="s">
        <v>15</v>
      </c>
      <c r="I93" s="65" t="s">
        <v>15</v>
      </c>
    </row>
    <row r="94" spans="1:9" s="25" customFormat="1" hidden="1">
      <c r="D94" s="42"/>
      <c r="E94" s="17"/>
      <c r="F94" s="61" t="s">
        <v>77</v>
      </c>
      <c r="G94" s="17"/>
      <c r="H94" s="17"/>
      <c r="I94" s="17"/>
    </row>
    <row r="95" spans="1:9" s="25" customFormat="1" hidden="1">
      <c r="D95" s="41"/>
      <c r="E95" s="41"/>
      <c r="F95" s="41"/>
      <c r="G95" s="41"/>
      <c r="H95" s="41"/>
      <c r="I95" s="41"/>
    </row>
    <row r="96" spans="1:9" s="25" customFormat="1" hidden="1">
      <c r="A96" s="40" t="s">
        <v>44</v>
      </c>
      <c r="B96" s="39"/>
      <c r="C96" s="39"/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</row>
    <row r="97" spans="1:9" s="25" customFormat="1" hidden="1">
      <c r="D97" s="31"/>
      <c r="E97" s="31"/>
      <c r="F97" s="31"/>
      <c r="G97" s="31"/>
      <c r="H97" s="31"/>
      <c r="I97" s="31"/>
    </row>
    <row r="98" spans="1:9" s="25" customFormat="1" hidden="1">
      <c r="A98" s="27" t="s">
        <v>43</v>
      </c>
      <c r="B98" s="27"/>
      <c r="C98" s="27"/>
      <c r="D98" s="37"/>
      <c r="E98" s="37">
        <v>0</v>
      </c>
      <c r="F98" s="37">
        <v>0</v>
      </c>
      <c r="G98" s="48">
        <f t="shared" ref="G98:G101" si="15">IF(F98&gt;H98,F98,H98)</f>
        <v>0</v>
      </c>
      <c r="H98" s="37">
        <v>0</v>
      </c>
      <c r="I98" s="37">
        <v>0</v>
      </c>
    </row>
    <row r="99" spans="1:9" s="25" customFormat="1" hidden="1">
      <c r="A99" s="27"/>
      <c r="B99" s="36" t="s">
        <v>42</v>
      </c>
      <c r="C99" s="36"/>
      <c r="D99" s="33"/>
      <c r="E99" s="33"/>
      <c r="F99" s="33"/>
      <c r="G99" s="48">
        <f t="shared" si="15"/>
        <v>0</v>
      </c>
      <c r="H99" s="33"/>
      <c r="I99" s="33"/>
    </row>
    <row r="100" spans="1:9" s="25" customFormat="1" hidden="1">
      <c r="A100" s="27"/>
      <c r="B100" s="27" t="s">
        <v>25</v>
      </c>
      <c r="C100" s="27"/>
      <c r="D100" s="33">
        <v>55000</v>
      </c>
      <c r="E100" s="33"/>
      <c r="F100" s="33"/>
      <c r="G100" s="48">
        <f t="shared" si="15"/>
        <v>0</v>
      </c>
      <c r="H100" s="33"/>
      <c r="I100" s="33"/>
    </row>
    <row r="101" spans="1:9" s="25" customFormat="1" hidden="1">
      <c r="A101" s="27"/>
      <c r="B101" s="27" t="s">
        <v>41</v>
      </c>
      <c r="C101" s="27"/>
      <c r="D101" s="35"/>
      <c r="E101" s="35"/>
      <c r="F101" s="35"/>
      <c r="G101" s="13">
        <f t="shared" si="15"/>
        <v>0</v>
      </c>
      <c r="H101" s="35"/>
      <c r="I101" s="35"/>
    </row>
    <row r="102" spans="1:9" s="25" customFormat="1" hidden="1">
      <c r="D102" s="34"/>
      <c r="E102" s="34"/>
      <c r="F102" s="34"/>
      <c r="G102" s="34"/>
      <c r="H102" s="34"/>
      <c r="I102" s="34"/>
    </row>
    <row r="103" spans="1:9" s="25" customFormat="1" hidden="1">
      <c r="A103" s="27"/>
      <c r="B103" s="27"/>
      <c r="C103" s="27" t="s">
        <v>9</v>
      </c>
      <c r="D103" s="35">
        <f>SUM(D99:D101)</f>
        <v>55000</v>
      </c>
      <c r="E103" s="35">
        <f>SUM(E98:E101)</f>
        <v>0</v>
      </c>
      <c r="F103" s="35">
        <f>SUM(F98:F101)</f>
        <v>0</v>
      </c>
      <c r="G103" s="35">
        <f>SUM(G98:G101)</f>
        <v>0</v>
      </c>
      <c r="H103" s="35">
        <f>SUM(H98:H101)</f>
        <v>0</v>
      </c>
      <c r="I103" s="35">
        <f>SUM(I98:I101)</f>
        <v>0</v>
      </c>
    </row>
    <row r="104" spans="1:9" s="25" customFormat="1" hidden="1">
      <c r="D104" s="34"/>
      <c r="E104" s="34"/>
      <c r="F104" s="34"/>
      <c r="G104" s="34"/>
      <c r="H104" s="34"/>
      <c r="I104" s="34"/>
    </row>
    <row r="105" spans="1:9" s="25" customFormat="1" hidden="1">
      <c r="A105" s="27" t="s">
        <v>40</v>
      </c>
      <c r="B105" s="27"/>
      <c r="C105" s="27"/>
      <c r="D105" s="35">
        <f t="shared" ref="D105:I105" si="16">D103+D96</f>
        <v>55000</v>
      </c>
      <c r="E105" s="35">
        <f t="shared" si="16"/>
        <v>0</v>
      </c>
      <c r="F105" s="35">
        <f t="shared" si="16"/>
        <v>0</v>
      </c>
      <c r="G105" s="35">
        <f t="shared" si="16"/>
        <v>0</v>
      </c>
      <c r="H105" s="35">
        <f t="shared" ref="H105" si="17">H103+H96</f>
        <v>0</v>
      </c>
      <c r="I105" s="35">
        <f t="shared" si="16"/>
        <v>0</v>
      </c>
    </row>
    <row r="106" spans="1:9" s="25" customFormat="1" hidden="1">
      <c r="D106" s="34"/>
      <c r="E106" s="34"/>
      <c r="F106" s="34"/>
      <c r="G106" s="34"/>
      <c r="H106" s="34"/>
      <c r="I106" s="34"/>
    </row>
    <row r="107" spans="1:9" s="25" customFormat="1" hidden="1">
      <c r="A107" s="27" t="s">
        <v>8</v>
      </c>
      <c r="B107" s="27"/>
      <c r="C107" s="27"/>
      <c r="D107" s="33"/>
      <c r="E107" s="33"/>
      <c r="F107" s="33"/>
      <c r="G107" s="33"/>
      <c r="H107" s="33"/>
      <c r="I107" s="33"/>
    </row>
    <row r="108" spans="1:9" s="25" customFormat="1" hidden="1">
      <c r="A108" s="27"/>
      <c r="B108" s="27" t="s">
        <v>39</v>
      </c>
      <c r="C108" s="27"/>
      <c r="D108" s="33">
        <v>0</v>
      </c>
      <c r="E108" s="33"/>
      <c r="F108" s="33"/>
      <c r="G108" s="48">
        <f t="shared" ref="G108:G120" si="18">IF(F108&gt;H108,F108,H108)</f>
        <v>0</v>
      </c>
      <c r="H108" s="33"/>
      <c r="I108" s="33"/>
    </row>
    <row r="109" spans="1:9" s="25" customFormat="1" hidden="1">
      <c r="A109" s="27"/>
      <c r="B109" s="27" t="s">
        <v>38</v>
      </c>
      <c r="C109" s="27"/>
      <c r="D109" s="33">
        <v>55000</v>
      </c>
      <c r="E109" s="33">
        <v>0</v>
      </c>
      <c r="F109" s="33">
        <v>0</v>
      </c>
      <c r="G109" s="48">
        <f t="shared" si="18"/>
        <v>0</v>
      </c>
      <c r="H109" s="33">
        <v>0</v>
      </c>
      <c r="I109" s="33">
        <v>0</v>
      </c>
    </row>
    <row r="110" spans="1:9" s="25" customFormat="1" hidden="1">
      <c r="A110" s="27"/>
      <c r="B110" s="27" t="s">
        <v>37</v>
      </c>
      <c r="C110" s="27"/>
      <c r="D110" s="33"/>
      <c r="E110" s="33">
        <v>0</v>
      </c>
      <c r="F110" s="33">
        <v>0</v>
      </c>
      <c r="G110" s="48">
        <f t="shared" si="18"/>
        <v>0</v>
      </c>
      <c r="H110" s="33">
        <v>0</v>
      </c>
      <c r="I110" s="33">
        <v>0</v>
      </c>
    </row>
    <row r="111" spans="1:9" s="25" customFormat="1" hidden="1">
      <c r="A111" s="27"/>
      <c r="B111" s="27" t="s">
        <v>36</v>
      </c>
      <c r="C111" s="27"/>
      <c r="D111" s="33"/>
      <c r="E111" s="33"/>
      <c r="F111" s="33"/>
      <c r="G111" s="48">
        <f t="shared" si="18"/>
        <v>0</v>
      </c>
      <c r="H111" s="33"/>
      <c r="I111" s="33"/>
    </row>
    <row r="112" spans="1:9" s="25" customFormat="1" hidden="1">
      <c r="A112" s="27"/>
      <c r="B112" s="27" t="s">
        <v>35</v>
      </c>
      <c r="C112" s="27"/>
      <c r="D112" s="33"/>
      <c r="E112" s="33"/>
      <c r="F112" s="33"/>
      <c r="G112" s="48">
        <f t="shared" si="18"/>
        <v>0</v>
      </c>
      <c r="H112" s="33"/>
      <c r="I112" s="33"/>
    </row>
    <row r="113" spans="1:9" s="25" customFormat="1" hidden="1">
      <c r="A113" s="27"/>
      <c r="B113" s="27" t="s">
        <v>22</v>
      </c>
      <c r="C113" s="27"/>
      <c r="D113" s="31"/>
      <c r="E113" s="31"/>
      <c r="F113" s="31"/>
      <c r="G113" s="48">
        <f t="shared" si="18"/>
        <v>0</v>
      </c>
      <c r="H113" s="31"/>
      <c r="I113" s="31"/>
    </row>
    <row r="114" spans="1:9" s="25" customFormat="1" hidden="1">
      <c r="A114" s="27"/>
      <c r="B114" s="27" t="s">
        <v>34</v>
      </c>
      <c r="C114" s="27"/>
      <c r="D114" s="33"/>
      <c r="E114" s="33">
        <v>0</v>
      </c>
      <c r="F114" s="33">
        <v>0</v>
      </c>
      <c r="G114" s="48">
        <f t="shared" si="18"/>
        <v>0</v>
      </c>
      <c r="H114" s="33">
        <v>0</v>
      </c>
      <c r="I114" s="33">
        <v>0</v>
      </c>
    </row>
    <row r="115" spans="1:9" s="25" customFormat="1" hidden="1">
      <c r="A115" s="27"/>
      <c r="B115" s="27" t="s">
        <v>33</v>
      </c>
      <c r="C115" s="27"/>
      <c r="D115" s="33"/>
      <c r="E115" s="33">
        <v>0</v>
      </c>
      <c r="F115" s="33">
        <v>0</v>
      </c>
      <c r="G115" s="48">
        <f t="shared" si="18"/>
        <v>0</v>
      </c>
      <c r="H115" s="33">
        <v>0</v>
      </c>
      <c r="I115" s="33">
        <v>0</v>
      </c>
    </row>
    <row r="116" spans="1:9" s="25" customFormat="1" hidden="1">
      <c r="A116" s="27"/>
      <c r="B116" s="27" t="s">
        <v>32</v>
      </c>
      <c r="C116" s="27"/>
      <c r="D116" s="33"/>
      <c r="E116" s="33"/>
      <c r="F116" s="33"/>
      <c r="G116" s="48">
        <f t="shared" si="18"/>
        <v>0</v>
      </c>
      <c r="H116" s="33"/>
      <c r="I116" s="33"/>
    </row>
    <row r="117" spans="1:9" s="25" customFormat="1" hidden="1">
      <c r="A117" s="27"/>
      <c r="B117" s="27" t="s">
        <v>31</v>
      </c>
      <c r="C117" s="27"/>
      <c r="D117" s="33"/>
      <c r="E117" s="33"/>
      <c r="F117" s="33"/>
      <c r="G117" s="48">
        <f t="shared" si="18"/>
        <v>0</v>
      </c>
      <c r="H117" s="33"/>
      <c r="I117" s="33"/>
    </row>
    <row r="118" spans="1:9" s="25" customFormat="1" hidden="1">
      <c r="A118" s="27"/>
      <c r="B118" s="27" t="s">
        <v>30</v>
      </c>
      <c r="C118" s="27"/>
      <c r="D118" s="33"/>
      <c r="E118" s="33"/>
      <c r="F118" s="33"/>
      <c r="G118" s="48">
        <f t="shared" si="18"/>
        <v>0</v>
      </c>
      <c r="H118" s="33"/>
      <c r="I118" s="33"/>
    </row>
    <row r="119" spans="1:9" s="25" customFormat="1" hidden="1">
      <c r="A119" s="27"/>
      <c r="B119" s="27" t="s">
        <v>29</v>
      </c>
      <c r="C119" s="27"/>
      <c r="D119" s="33"/>
      <c r="E119" s="33"/>
      <c r="F119" s="33"/>
      <c r="G119" s="48">
        <f t="shared" si="18"/>
        <v>0</v>
      </c>
      <c r="H119" s="33"/>
      <c r="I119" s="33"/>
    </row>
    <row r="120" spans="1:9" s="25" customFormat="1" hidden="1">
      <c r="A120" s="27"/>
      <c r="B120" s="27" t="s">
        <v>28</v>
      </c>
      <c r="C120" s="27"/>
      <c r="D120" s="32"/>
      <c r="E120" s="32"/>
      <c r="F120" s="32"/>
      <c r="G120" s="13">
        <f t="shared" si="18"/>
        <v>0</v>
      </c>
      <c r="H120" s="32"/>
      <c r="I120" s="32"/>
    </row>
    <row r="121" spans="1:9" s="25" customFormat="1" hidden="1">
      <c r="D121" s="31"/>
      <c r="E121" s="31"/>
      <c r="F121" s="31"/>
      <c r="G121" s="31"/>
      <c r="H121" s="31"/>
      <c r="I121" s="31"/>
    </row>
    <row r="122" spans="1:9" s="25" customFormat="1" hidden="1">
      <c r="A122" s="27"/>
      <c r="B122" s="27"/>
      <c r="C122" s="25" t="s">
        <v>4</v>
      </c>
      <c r="D122" s="30">
        <f t="shared" ref="D122:I122" si="19">SUM(D109:D120)</f>
        <v>55000</v>
      </c>
      <c r="E122" s="30">
        <f t="shared" si="19"/>
        <v>0</v>
      </c>
      <c r="F122" s="30">
        <f t="shared" si="19"/>
        <v>0</v>
      </c>
      <c r="G122" s="30">
        <f t="shared" si="19"/>
        <v>0</v>
      </c>
      <c r="H122" s="30">
        <f t="shared" ref="H122" si="20">SUM(H109:H120)</f>
        <v>0</v>
      </c>
      <c r="I122" s="30">
        <f t="shared" si="19"/>
        <v>0</v>
      </c>
    </row>
    <row r="123" spans="1:9" s="25" customFormat="1" hidden="1">
      <c r="D123" s="29"/>
      <c r="E123" s="29"/>
      <c r="F123" s="29"/>
      <c r="G123" s="29"/>
      <c r="H123" s="29"/>
      <c r="I123" s="29"/>
    </row>
    <row r="124" spans="1:9" s="25" customFormat="1" ht="13.5" hidden="1" thickBot="1">
      <c r="A124" s="28" t="s">
        <v>3</v>
      </c>
      <c r="B124" s="27"/>
      <c r="C124" s="27"/>
      <c r="D124" s="26">
        <f t="shared" ref="D124:I124" si="21">D105-D122</f>
        <v>0</v>
      </c>
      <c r="E124" s="26">
        <f t="shared" si="21"/>
        <v>0</v>
      </c>
      <c r="F124" s="26">
        <f t="shared" si="21"/>
        <v>0</v>
      </c>
      <c r="G124" s="26">
        <f t="shared" si="21"/>
        <v>0</v>
      </c>
      <c r="H124" s="26">
        <f t="shared" ref="H124" si="22">H105-H122</f>
        <v>0</v>
      </c>
      <c r="I124" s="26">
        <f t="shared" si="21"/>
        <v>0</v>
      </c>
    </row>
    <row r="125" spans="1:9" s="25" customFormat="1" hidden="1">
      <c r="A125" s="28"/>
      <c r="B125" s="27"/>
      <c r="C125" s="27"/>
      <c r="D125" s="55"/>
      <c r="E125" s="55"/>
      <c r="F125" s="55"/>
      <c r="G125" s="55"/>
      <c r="H125" s="55"/>
      <c r="I125" s="55"/>
    </row>
    <row r="126" spans="1:9">
      <c r="A126" s="21" t="s">
        <v>46</v>
      </c>
      <c r="B126" s="20"/>
      <c r="C126" s="20"/>
      <c r="D126" s="20"/>
      <c r="E126" s="20"/>
      <c r="F126" s="20"/>
      <c r="G126" s="20"/>
      <c r="H126" s="20"/>
      <c r="I126" s="20"/>
    </row>
    <row r="127" spans="1:9">
      <c r="A127" s="21" t="str">
        <f>A2</f>
        <v xml:space="preserve"> 2016 AMENDED AND 2017 BUDGET</v>
      </c>
      <c r="B127" s="20"/>
      <c r="C127" s="20"/>
      <c r="D127" s="20"/>
      <c r="E127" s="20"/>
      <c r="F127" s="20"/>
      <c r="G127" s="20"/>
      <c r="H127" s="20"/>
      <c r="I127" s="20"/>
    </row>
    <row r="128" spans="1:9">
      <c r="A128" s="21" t="s">
        <v>67</v>
      </c>
      <c r="B128" s="20"/>
      <c r="C128" s="20"/>
      <c r="D128" s="20"/>
      <c r="E128" s="20"/>
      <c r="F128" s="20"/>
      <c r="G128" s="20"/>
      <c r="H128" s="20"/>
      <c r="I128" s="20"/>
    </row>
    <row r="129" spans="1:9">
      <c r="A129" s="21"/>
      <c r="B129" s="20"/>
      <c r="C129" s="20"/>
      <c r="D129" s="20"/>
      <c r="E129" s="20"/>
      <c r="F129" s="20"/>
      <c r="G129" s="20"/>
      <c r="H129" s="20"/>
      <c r="I129" s="20"/>
    </row>
    <row r="130" spans="1:9" ht="12.75" customHeight="1">
      <c r="C130" s="62"/>
    </row>
    <row r="131" spans="1:9" ht="12.75" customHeight="1">
      <c r="A131" s="3"/>
      <c r="B131" s="3"/>
      <c r="C131" s="63"/>
      <c r="D131" s="19">
        <v>2014</v>
      </c>
      <c r="E131" s="64">
        <v>2015</v>
      </c>
      <c r="F131" s="64">
        <f>F5</f>
        <v>2016</v>
      </c>
      <c r="G131" s="64">
        <f>G5</f>
        <v>2016</v>
      </c>
      <c r="H131" s="64">
        <f>H5</f>
        <v>2016</v>
      </c>
      <c r="I131" s="64">
        <f>I5</f>
        <v>2017</v>
      </c>
    </row>
    <row r="132" spans="1:9" ht="12.75" customHeight="1">
      <c r="A132" s="3"/>
      <c r="B132" s="3"/>
      <c r="C132" s="63"/>
      <c r="D132" s="17" t="s">
        <v>15</v>
      </c>
      <c r="E132" s="65" t="s">
        <v>17</v>
      </c>
      <c r="F132" s="65" t="s">
        <v>17</v>
      </c>
      <c r="G132" s="65" t="s">
        <v>16</v>
      </c>
      <c r="H132" s="65" t="s">
        <v>15</v>
      </c>
      <c r="I132" s="65" t="s">
        <v>15</v>
      </c>
    </row>
    <row r="133" spans="1:9">
      <c r="D133" s="18"/>
      <c r="E133" s="17"/>
      <c r="F133" s="61"/>
      <c r="G133" s="17"/>
      <c r="H133" s="17"/>
      <c r="I133" s="17"/>
    </row>
    <row r="134" spans="1:9">
      <c r="D134" s="17"/>
      <c r="E134" s="17"/>
      <c r="F134" s="17"/>
      <c r="G134" s="17"/>
      <c r="H134" s="17"/>
      <c r="I134" s="17"/>
    </row>
    <row r="135" spans="1:9">
      <c r="A135" s="24" t="s">
        <v>26</v>
      </c>
      <c r="B135" s="23"/>
      <c r="C135" s="23"/>
      <c r="D135" s="14">
        <v>0</v>
      </c>
      <c r="E135" s="14">
        <v>0</v>
      </c>
      <c r="F135" s="14">
        <v>5992.69</v>
      </c>
      <c r="G135" s="14">
        <f t="shared" ref="G135" si="23">IF(F135&gt;H135,F135,H135)</f>
        <v>5992.69</v>
      </c>
      <c r="H135" s="14">
        <v>476</v>
      </c>
      <c r="I135" s="14">
        <f>F163</f>
        <v>6524.8186999999998</v>
      </c>
    </row>
    <row r="136" spans="1:9">
      <c r="D136" s="6"/>
      <c r="E136" s="6"/>
      <c r="F136" s="6"/>
      <c r="G136" s="6"/>
      <c r="H136" s="6"/>
      <c r="I136" s="6"/>
    </row>
    <row r="137" spans="1:9">
      <c r="A137" s="3" t="s">
        <v>13</v>
      </c>
      <c r="B137" s="3"/>
      <c r="C137" s="3"/>
      <c r="D137" s="9"/>
      <c r="E137" s="9"/>
      <c r="F137" s="9"/>
      <c r="G137" s="48">
        <f t="shared" ref="G137:G141" si="24">IF(F137&gt;H137,F137,H137)</f>
        <v>0</v>
      </c>
      <c r="H137" s="9"/>
      <c r="I137" s="9"/>
    </row>
    <row r="138" spans="1:9">
      <c r="A138" s="3"/>
      <c r="B138" s="3" t="s">
        <v>25</v>
      </c>
      <c r="C138" s="3"/>
      <c r="D138" s="9"/>
      <c r="E138" s="9">
        <v>300</v>
      </c>
      <c r="F138" s="9">
        <v>0</v>
      </c>
      <c r="G138" s="48">
        <v>10000</v>
      </c>
      <c r="H138" s="9">
        <v>53428.79</v>
      </c>
      <c r="I138" s="9">
        <v>150000</v>
      </c>
    </row>
    <row r="139" spans="1:9">
      <c r="A139" s="3"/>
      <c r="B139" s="3" t="s">
        <v>66</v>
      </c>
      <c r="C139" s="3"/>
      <c r="D139" s="9">
        <f>D165*D166</f>
        <v>0</v>
      </c>
      <c r="E139" s="9">
        <f>5706*0.166667</f>
        <v>951.00190200000009</v>
      </c>
      <c r="F139" s="9">
        <f>'[1]SRMD2 Quarterly'!$H$126</f>
        <v>1098.6020000000001</v>
      </c>
      <c r="G139" s="48">
        <f t="shared" si="24"/>
        <v>1132.9000000000001</v>
      </c>
      <c r="H139" s="9">
        <f>H165*H166</f>
        <v>1132.9000000000001</v>
      </c>
      <c r="I139" s="9">
        <f>I165*I166</f>
        <v>957.4</v>
      </c>
    </row>
    <row r="140" spans="1:9">
      <c r="A140" s="3"/>
      <c r="B140" s="3" t="s">
        <v>54</v>
      </c>
      <c r="C140" s="3"/>
      <c r="D140" s="9">
        <f>D139*7%</f>
        <v>0</v>
      </c>
      <c r="E140" s="9">
        <f>602.44*0.166667</f>
        <v>100.40686748000002</v>
      </c>
      <c r="F140" s="9">
        <f>'[1]SRMD2 Quarterly'!$H$127</f>
        <v>107.53400000000002</v>
      </c>
      <c r="G140" s="48">
        <f t="shared" si="24"/>
        <v>107.53400000000002</v>
      </c>
      <c r="H140" s="9">
        <f>H139*7%</f>
        <v>79.303000000000011</v>
      </c>
      <c r="I140" s="9">
        <f>I139*7%</f>
        <v>67.018000000000001</v>
      </c>
    </row>
    <row r="141" spans="1:9">
      <c r="A141" s="3"/>
      <c r="B141" s="3" t="s">
        <v>53</v>
      </c>
      <c r="C141" s="3"/>
      <c r="E141" s="6">
        <f>336.59*0.166667</f>
        <v>56.098445529999999</v>
      </c>
      <c r="F141" s="6">
        <f>'[1]SRMD2 Quarterly'!$H$128</f>
        <v>36.417999999999999</v>
      </c>
      <c r="G141" s="48">
        <f t="shared" si="24"/>
        <v>36.417999999999999</v>
      </c>
    </row>
    <row r="142" spans="1:9">
      <c r="D142" s="54"/>
      <c r="E142" s="54"/>
      <c r="F142" s="54"/>
      <c r="G142" s="54"/>
      <c r="H142" s="54"/>
      <c r="I142" s="54"/>
    </row>
    <row r="143" spans="1:9">
      <c r="A143" s="3"/>
      <c r="B143" s="3"/>
      <c r="C143" s="3" t="s">
        <v>9</v>
      </c>
      <c r="D143" s="10">
        <f>SUM(D139:D141)</f>
        <v>0</v>
      </c>
      <c r="E143" s="10">
        <f>SUM(E138:E141)</f>
        <v>1407.50721501</v>
      </c>
      <c r="F143" s="10">
        <f>F135+SUM(F138:F141)</f>
        <v>7235.2439999999997</v>
      </c>
      <c r="G143" s="10">
        <f>SUM(G137:G141)</f>
        <v>11276.851999999999</v>
      </c>
      <c r="H143" s="10">
        <f>SUM(H135:H141)</f>
        <v>55116.993000000002</v>
      </c>
      <c r="I143" s="10">
        <f>SUM(I135:I141)</f>
        <v>157549.23670000001</v>
      </c>
    </row>
    <row r="144" spans="1:9">
      <c r="D144" s="6"/>
      <c r="E144" s="6"/>
      <c r="F144" s="6"/>
      <c r="G144" s="6"/>
      <c r="H144" s="6"/>
      <c r="I144" s="6"/>
    </row>
    <row r="145" spans="1:9">
      <c r="A145" s="3" t="s">
        <v>8</v>
      </c>
      <c r="B145" s="3"/>
      <c r="C145" s="3"/>
      <c r="D145" s="9"/>
      <c r="E145" s="9"/>
      <c r="F145" s="9"/>
      <c r="G145" s="9"/>
      <c r="H145" s="9"/>
      <c r="I145" s="9"/>
    </row>
    <row r="146" spans="1:9">
      <c r="A146" s="3"/>
      <c r="B146" s="3" t="s">
        <v>65</v>
      </c>
      <c r="C146" s="3"/>
      <c r="D146" s="9"/>
      <c r="E146" s="9"/>
      <c r="F146" s="9" t="s">
        <v>90</v>
      </c>
      <c r="G146" s="48">
        <f t="shared" ref="G146:G159" si="25">IF(F146&gt;H146,F146,H146)</f>
        <v>0</v>
      </c>
      <c r="H146" s="9"/>
      <c r="I146" s="9">
        <v>30000</v>
      </c>
    </row>
    <row r="147" spans="1:9">
      <c r="A147" s="3"/>
      <c r="B147" s="3" t="s">
        <v>64</v>
      </c>
      <c r="C147" s="3"/>
      <c r="D147" s="48"/>
      <c r="E147" s="48"/>
      <c r="F147" s="48">
        <f>'[1]SRMD2 Quarterly'!$H$131</f>
        <v>0</v>
      </c>
      <c r="G147" s="48">
        <f t="shared" si="25"/>
        <v>0</v>
      </c>
      <c r="H147" s="48"/>
      <c r="I147" s="48"/>
    </row>
    <row r="148" spans="1:9">
      <c r="A148" s="3"/>
      <c r="B148" s="3" t="s">
        <v>63</v>
      </c>
      <c r="C148" s="3"/>
      <c r="D148" s="48"/>
      <c r="E148" s="48">
        <v>0</v>
      </c>
      <c r="F148" s="48">
        <f>'[1]SRMD2 Quarterly'!$H$132</f>
        <v>0</v>
      </c>
      <c r="G148" s="48">
        <v>0</v>
      </c>
      <c r="H148" s="48">
        <v>24000</v>
      </c>
      <c r="I148" s="48">
        <v>48000</v>
      </c>
    </row>
    <row r="149" spans="1:9">
      <c r="A149" s="3"/>
      <c r="B149" s="3" t="s">
        <v>62</v>
      </c>
      <c r="C149" s="3"/>
      <c r="D149" s="9"/>
      <c r="E149" s="9">
        <v>274.04000000000002</v>
      </c>
      <c r="F149" s="9">
        <f>'[1]SRMD2 Quarterly'!$H$133</f>
        <v>0</v>
      </c>
      <c r="G149" s="48">
        <f t="shared" si="25"/>
        <v>0</v>
      </c>
      <c r="H149" s="9"/>
      <c r="I149" s="9"/>
    </row>
    <row r="150" spans="1:9">
      <c r="A150" s="3"/>
      <c r="B150" s="3" t="s">
        <v>91</v>
      </c>
      <c r="C150" s="3"/>
      <c r="D150" s="9"/>
      <c r="E150" s="9">
        <v>0</v>
      </c>
      <c r="F150" s="9">
        <f>'[1]SRMD2 Quarterly'!$H$134</f>
        <v>0</v>
      </c>
      <c r="G150" s="48">
        <v>8000</v>
      </c>
      <c r="H150" s="9">
        <v>1000</v>
      </c>
      <c r="I150" s="9">
        <v>16000</v>
      </c>
    </row>
    <row r="151" spans="1:9">
      <c r="A151" s="3"/>
      <c r="B151" s="3" t="s">
        <v>21</v>
      </c>
      <c r="C151" s="3"/>
      <c r="D151" s="9"/>
      <c r="E151" s="9">
        <v>250</v>
      </c>
      <c r="F151" s="9">
        <f>'[1]SRMD2 Quarterly'!$H$135</f>
        <v>0</v>
      </c>
      <c r="G151" s="48">
        <v>2500</v>
      </c>
      <c r="H151" s="9">
        <v>5000</v>
      </c>
      <c r="I151" s="9">
        <v>2500</v>
      </c>
    </row>
    <row r="152" spans="1:9">
      <c r="A152" s="3"/>
      <c r="B152" s="3" t="s">
        <v>20</v>
      </c>
      <c r="C152" s="3"/>
      <c r="D152" s="48"/>
      <c r="E152" s="48">
        <v>302.06</v>
      </c>
      <c r="F152" s="48">
        <v>406.4</v>
      </c>
      <c r="G152" s="48">
        <v>500</v>
      </c>
      <c r="H152" s="48">
        <v>1000</v>
      </c>
      <c r="I152" s="48">
        <v>1000</v>
      </c>
    </row>
    <row r="153" spans="1:9">
      <c r="A153" s="3"/>
      <c r="B153" s="27" t="s">
        <v>35</v>
      </c>
      <c r="C153" s="3"/>
      <c r="D153" s="48"/>
      <c r="E153" s="48">
        <v>0</v>
      </c>
      <c r="F153" s="48">
        <f>'[1]SRMD2 Quarterly'!$H$137</f>
        <v>0</v>
      </c>
      <c r="G153" s="48">
        <v>0</v>
      </c>
      <c r="H153" s="48">
        <v>24000</v>
      </c>
      <c r="I153" s="48">
        <v>48000</v>
      </c>
    </row>
    <row r="154" spans="1:9">
      <c r="A154" s="3"/>
      <c r="B154" s="3" t="s">
        <v>60</v>
      </c>
      <c r="C154" s="3"/>
      <c r="D154" s="9">
        <f>D290+D393</f>
        <v>0</v>
      </c>
      <c r="E154" s="9">
        <v>0</v>
      </c>
      <c r="F154" s="9">
        <v>0</v>
      </c>
      <c r="G154" s="48">
        <f t="shared" si="25"/>
        <v>0</v>
      </c>
      <c r="H154" s="9">
        <v>0</v>
      </c>
      <c r="I154" s="9">
        <v>0</v>
      </c>
    </row>
    <row r="155" spans="1:9">
      <c r="A155" s="3"/>
      <c r="B155" s="3" t="s">
        <v>22</v>
      </c>
      <c r="C155" s="3"/>
      <c r="D155" s="9"/>
      <c r="E155" s="9">
        <f>12+12+12+12+12+30</f>
        <v>90</v>
      </c>
      <c r="F155" s="9">
        <v>287</v>
      </c>
      <c r="G155" s="48">
        <v>150</v>
      </c>
      <c r="H155" s="9">
        <v>100</v>
      </c>
      <c r="I155" s="9">
        <v>150</v>
      </c>
    </row>
    <row r="156" spans="1:9">
      <c r="A156" s="3"/>
      <c r="B156" s="3" t="s">
        <v>28</v>
      </c>
      <c r="C156" s="3"/>
      <c r="D156" s="9"/>
      <c r="E156" s="9"/>
      <c r="F156" s="9">
        <f>'[1]SRMD2 Quarterly'!$H$139</f>
        <v>0</v>
      </c>
      <c r="G156" s="48">
        <f t="shared" si="25"/>
        <v>0</v>
      </c>
      <c r="H156" s="9"/>
      <c r="I156" s="9"/>
    </row>
    <row r="157" spans="1:9">
      <c r="A157" s="3"/>
      <c r="B157" s="3" t="s">
        <v>59</v>
      </c>
      <c r="C157" s="3"/>
      <c r="D157" s="11"/>
      <c r="E157" s="11"/>
      <c r="F157" s="11">
        <f>'[1]SRMD2 Quarterly'!$H$140</f>
        <v>0</v>
      </c>
      <c r="G157" s="48">
        <f t="shared" si="25"/>
        <v>0</v>
      </c>
      <c r="H157" s="11"/>
      <c r="I157" s="11"/>
    </row>
    <row r="158" spans="1:9">
      <c r="A158" s="3"/>
      <c r="B158" s="3" t="s">
        <v>7</v>
      </c>
      <c r="C158" s="3"/>
      <c r="D158" s="9">
        <f>(D139+D141)*1.5%</f>
        <v>0</v>
      </c>
      <c r="E158" s="9">
        <f>(E139+E141)*1.5%</f>
        <v>15.106505212950001</v>
      </c>
      <c r="F158" s="9">
        <f>'[1]SRMD2 Quarterly'!$H$144</f>
        <v>17.025300000000001</v>
      </c>
      <c r="G158" s="48">
        <f t="shared" si="25"/>
        <v>17.025300000000001</v>
      </c>
      <c r="H158" s="9">
        <f>(H139+H141)*1.5%</f>
        <v>16.993500000000001</v>
      </c>
      <c r="I158" s="9">
        <f>(I139+I141)*1.5%</f>
        <v>14.360999999999999</v>
      </c>
    </row>
    <row r="159" spans="1:9">
      <c r="A159" s="3"/>
      <c r="B159" s="3" t="s">
        <v>19</v>
      </c>
      <c r="C159" s="3"/>
      <c r="D159" s="10">
        <v>0</v>
      </c>
      <c r="E159" s="10">
        <v>0</v>
      </c>
      <c r="F159" s="10">
        <f>'[1]SRMD2 Quarterly'!$H$142</f>
        <v>0</v>
      </c>
      <c r="G159" s="13">
        <f t="shared" si="25"/>
        <v>0</v>
      </c>
      <c r="H159" s="10">
        <v>0</v>
      </c>
      <c r="I159" s="10">
        <v>0</v>
      </c>
    </row>
    <row r="160" spans="1:9">
      <c r="A160" s="3"/>
      <c r="B160" s="3"/>
      <c r="C160" s="3"/>
      <c r="D160" s="9"/>
      <c r="E160" s="9"/>
      <c r="F160" s="9"/>
      <c r="G160" s="9"/>
      <c r="H160" s="9"/>
      <c r="I160" s="9"/>
    </row>
    <row r="161" spans="1:9">
      <c r="C161" s="7" t="s">
        <v>4</v>
      </c>
      <c r="D161" s="8">
        <f t="shared" ref="D161:I161" si="26">SUM(D146:D159)</f>
        <v>0</v>
      </c>
      <c r="E161" s="8">
        <f t="shared" si="26"/>
        <v>931.20650521294988</v>
      </c>
      <c r="F161" s="8">
        <f t="shared" si="26"/>
        <v>710.42529999999999</v>
      </c>
      <c r="G161" s="8">
        <f t="shared" si="26"/>
        <v>11167.025299999999</v>
      </c>
      <c r="H161" s="8">
        <f t="shared" ref="H161" si="27">SUM(H146:H159)</f>
        <v>55116.993499999997</v>
      </c>
      <c r="I161" s="8">
        <f t="shared" si="26"/>
        <v>145664.361</v>
      </c>
    </row>
    <row r="162" spans="1:9">
      <c r="C162" s="7"/>
      <c r="D162" s="47"/>
      <c r="E162" s="47"/>
      <c r="F162" s="47"/>
      <c r="G162" s="47"/>
      <c r="H162" s="47"/>
      <c r="I162" s="47"/>
    </row>
    <row r="163" spans="1:9" ht="13.5" thickBot="1">
      <c r="A163" s="5" t="s">
        <v>3</v>
      </c>
      <c r="B163" s="3"/>
      <c r="C163" s="3"/>
      <c r="D163" s="4">
        <f t="shared" ref="D163:I163" si="28">D143-D161</f>
        <v>0</v>
      </c>
      <c r="E163" s="4">
        <f t="shared" si="28"/>
        <v>476.3007097970501</v>
      </c>
      <c r="F163" s="4">
        <f t="shared" si="28"/>
        <v>6524.8186999999998</v>
      </c>
      <c r="G163" s="4">
        <f t="shared" si="28"/>
        <v>109.82669999999962</v>
      </c>
      <c r="H163" s="4">
        <f t="shared" ref="H163" si="29">H143-H161</f>
        <v>-4.999999946448952E-4</v>
      </c>
      <c r="I163" s="4">
        <f t="shared" si="28"/>
        <v>11884.875700000004</v>
      </c>
    </row>
    <row r="164" spans="1:9" ht="13.5" thickTop="1">
      <c r="A164" s="3"/>
      <c r="B164" s="3"/>
      <c r="C164" s="3"/>
      <c r="D164" s="22"/>
      <c r="E164" s="22"/>
      <c r="F164" s="22"/>
      <c r="G164" s="22"/>
      <c r="H164" s="22"/>
      <c r="I164" s="22"/>
    </row>
    <row r="165" spans="1:9">
      <c r="A165" s="3"/>
      <c r="B165" s="3" t="s">
        <v>47</v>
      </c>
      <c r="C165" s="3"/>
      <c r="D165" s="2"/>
      <c r="E165" s="2">
        <f>E206</f>
        <v>95.1</v>
      </c>
      <c r="F165" s="2">
        <f>F206</f>
        <v>113.29</v>
      </c>
      <c r="G165" s="2">
        <f>G206</f>
        <v>113.29</v>
      </c>
      <c r="H165" s="2">
        <f>H206</f>
        <v>113.29</v>
      </c>
      <c r="I165" s="2">
        <f>I206</f>
        <v>95.74</v>
      </c>
    </row>
    <row r="166" spans="1:9">
      <c r="A166" s="3"/>
      <c r="B166" s="3" t="s">
        <v>1</v>
      </c>
      <c r="C166" s="3"/>
      <c r="D166" s="2"/>
      <c r="E166" s="2">
        <v>10</v>
      </c>
      <c r="F166" s="2">
        <v>10</v>
      </c>
      <c r="G166" s="2">
        <v>10</v>
      </c>
      <c r="H166" s="2">
        <v>10</v>
      </c>
      <c r="I166" s="2">
        <v>10</v>
      </c>
    </row>
    <row r="167" spans="1:9">
      <c r="A167" s="3"/>
      <c r="B167" s="3"/>
      <c r="C167" s="3"/>
      <c r="D167" s="2"/>
      <c r="E167" s="2"/>
      <c r="F167" s="2"/>
      <c r="G167" s="2"/>
      <c r="H167" s="2"/>
      <c r="I167" s="2"/>
    </row>
    <row r="168" spans="1:9">
      <c r="A168" s="3"/>
      <c r="B168" s="3"/>
      <c r="C168" s="3"/>
      <c r="D168" s="2"/>
      <c r="E168" s="2"/>
      <c r="F168" s="2"/>
      <c r="G168" s="2"/>
      <c r="H168" s="2"/>
      <c r="I168" s="2"/>
    </row>
    <row r="169" spans="1:9">
      <c r="A169" s="21" t="str">
        <f>A126</f>
        <v>STERLING RANCH METROPOLITAN DISTRICT</v>
      </c>
      <c r="B169" s="20"/>
      <c r="C169" s="20"/>
      <c r="D169" s="20"/>
      <c r="E169" s="20"/>
      <c r="F169" s="20"/>
      <c r="G169" s="20"/>
      <c r="H169" s="20"/>
      <c r="I169" s="20"/>
    </row>
    <row r="170" spans="1:9">
      <c r="A170" s="21" t="str">
        <f>A2</f>
        <v xml:space="preserve"> 2016 AMENDED AND 2017 BUDGET</v>
      </c>
      <c r="B170" s="20"/>
      <c r="C170" s="20"/>
      <c r="D170" s="20"/>
      <c r="E170" s="20"/>
      <c r="F170" s="20"/>
      <c r="G170" s="20"/>
      <c r="H170" s="20"/>
      <c r="I170" s="20"/>
    </row>
    <row r="171" spans="1:9">
      <c r="A171" s="21" t="s">
        <v>58</v>
      </c>
      <c r="B171" s="20"/>
      <c r="C171" s="20"/>
      <c r="D171" s="20"/>
      <c r="E171" s="20"/>
      <c r="F171" s="20"/>
      <c r="G171" s="20"/>
      <c r="H171" s="20"/>
      <c r="I171" s="20"/>
    </row>
    <row r="172" spans="1:9">
      <c r="A172" s="51"/>
      <c r="B172" s="50"/>
      <c r="C172" s="50"/>
      <c r="D172" s="52"/>
      <c r="E172" s="52"/>
      <c r="F172" s="52"/>
      <c r="G172" s="52"/>
      <c r="H172" s="52"/>
      <c r="I172" s="52"/>
    </row>
    <row r="173" spans="1:9" hidden="1">
      <c r="A173" s="50"/>
      <c r="B173" s="51"/>
      <c r="C173" s="50"/>
      <c r="D173" s="19">
        <v>2014</v>
      </c>
      <c r="E173" s="19">
        <v>2015</v>
      </c>
      <c r="F173" s="19">
        <f>F5</f>
        <v>2016</v>
      </c>
      <c r="G173" s="19">
        <f>G5</f>
        <v>2016</v>
      </c>
      <c r="H173" s="19">
        <f>H5</f>
        <v>2016</v>
      </c>
      <c r="I173" s="19">
        <f>I5</f>
        <v>2017</v>
      </c>
    </row>
    <row r="174" spans="1:9" hidden="1">
      <c r="A174" s="3"/>
      <c r="B174" s="3"/>
      <c r="C174" s="3"/>
      <c r="D174" s="17" t="s">
        <v>15</v>
      </c>
      <c r="E174" s="17" t="s">
        <v>17</v>
      </c>
      <c r="F174" s="17" t="s">
        <v>17</v>
      </c>
      <c r="G174" s="17" t="s">
        <v>16</v>
      </c>
      <c r="H174" s="17" t="s">
        <v>15</v>
      </c>
      <c r="I174" s="17" t="s">
        <v>15</v>
      </c>
    </row>
    <row r="175" spans="1:9" hidden="1">
      <c r="A175" s="3"/>
      <c r="B175" s="3"/>
      <c r="C175" s="3"/>
      <c r="D175" s="17"/>
      <c r="E175" s="17"/>
      <c r="F175" s="61" t="s">
        <v>77</v>
      </c>
      <c r="G175" s="17"/>
      <c r="H175" s="17"/>
      <c r="I175" s="17"/>
    </row>
    <row r="176" spans="1:9" hidden="1">
      <c r="A176" s="16" t="s">
        <v>57</v>
      </c>
      <c r="B176" s="15"/>
      <c r="C176" s="15"/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</row>
    <row r="177" spans="1:9" hidden="1">
      <c r="D177" s="17"/>
      <c r="E177" s="17"/>
      <c r="F177" s="17"/>
      <c r="G177" s="17"/>
      <c r="H177" s="17"/>
      <c r="I177" s="17"/>
    </row>
    <row r="178" spans="1:9" ht="12.75" hidden="1" customHeight="1">
      <c r="C178" s="62"/>
    </row>
    <row r="179" spans="1:9" ht="12.75" customHeight="1">
      <c r="A179" s="3"/>
      <c r="B179" s="3"/>
      <c r="C179" s="63"/>
      <c r="D179" s="19">
        <v>2014</v>
      </c>
      <c r="E179" s="64">
        <v>2015</v>
      </c>
      <c r="F179" s="64">
        <f>F173</f>
        <v>2016</v>
      </c>
      <c r="G179" s="64">
        <f>G173</f>
        <v>2016</v>
      </c>
      <c r="H179" s="64">
        <f>H173</f>
        <v>2016</v>
      </c>
      <c r="I179" s="64">
        <f>I173</f>
        <v>2017</v>
      </c>
    </row>
    <row r="180" spans="1:9" ht="12.75" customHeight="1">
      <c r="A180" s="3"/>
      <c r="B180" s="3"/>
      <c r="C180" s="63"/>
      <c r="D180" s="17" t="s">
        <v>15</v>
      </c>
      <c r="E180" s="65" t="s">
        <v>17</v>
      </c>
      <c r="F180" s="65" t="s">
        <v>17</v>
      </c>
      <c r="G180" s="65" t="s">
        <v>16</v>
      </c>
      <c r="H180" s="65" t="s">
        <v>15</v>
      </c>
      <c r="I180" s="65" t="s">
        <v>15</v>
      </c>
    </row>
    <row r="181" spans="1:9">
      <c r="D181" s="18"/>
      <c r="E181" s="17"/>
      <c r="F181" s="61"/>
      <c r="G181" s="17"/>
      <c r="H181" s="17"/>
      <c r="I181" s="17"/>
    </row>
    <row r="182" spans="1:9">
      <c r="D182" s="17"/>
      <c r="E182" s="17"/>
      <c r="F182" s="17"/>
      <c r="G182" s="17"/>
      <c r="H182" s="17"/>
      <c r="I182" s="17"/>
    </row>
    <row r="183" spans="1:9">
      <c r="A183" s="16" t="s">
        <v>14</v>
      </c>
      <c r="B183" s="15"/>
      <c r="C183" s="15"/>
      <c r="D183" s="14">
        <v>0</v>
      </c>
      <c r="E183" s="14">
        <v>0</v>
      </c>
      <c r="F183" s="14">
        <v>0</v>
      </c>
      <c r="G183" s="14">
        <v>0</v>
      </c>
      <c r="H183" s="14">
        <v>5016.53</v>
      </c>
      <c r="I183" s="14">
        <f>F204</f>
        <v>1343.9748000000004</v>
      </c>
    </row>
    <row r="184" spans="1:9">
      <c r="D184" s="6"/>
      <c r="E184" s="6"/>
      <c r="F184" s="6"/>
      <c r="G184" s="6"/>
      <c r="H184" s="6"/>
      <c r="I184" s="6"/>
    </row>
    <row r="185" spans="1:9">
      <c r="A185" s="3" t="s">
        <v>56</v>
      </c>
      <c r="B185" s="3"/>
      <c r="C185" s="3"/>
      <c r="D185" s="9"/>
      <c r="E185" s="9">
        <v>786869</v>
      </c>
      <c r="F185" s="9">
        <f>'[1]SRMD2 Quarterly'!$H$161</f>
        <v>0</v>
      </c>
      <c r="G185" s="48">
        <f t="shared" ref="G185:G191" si="30">IF(F185&gt;H185,F185,H185)</f>
        <v>0</v>
      </c>
      <c r="H185" s="9"/>
      <c r="I185" s="9"/>
    </row>
    <row r="186" spans="1:9">
      <c r="A186" s="3"/>
      <c r="B186" s="3" t="s">
        <v>55</v>
      </c>
      <c r="C186" s="3"/>
      <c r="D186" s="9">
        <f>D206*D207</f>
        <v>0</v>
      </c>
      <c r="E186" s="9">
        <f>5706*0.833333</f>
        <v>4754.998098</v>
      </c>
      <c r="F186" s="9">
        <f>'[1]SRMD2 Quarterly'!$H$165</f>
        <v>4394.4080000000004</v>
      </c>
      <c r="G186" s="48">
        <f t="shared" si="30"/>
        <v>4531.6000000000004</v>
      </c>
      <c r="H186" s="9">
        <f>H206*H207</f>
        <v>4531.6000000000004</v>
      </c>
      <c r="I186" s="9">
        <f>I206*I207</f>
        <v>3829.6</v>
      </c>
    </row>
    <row r="187" spans="1:9">
      <c r="A187" s="3"/>
      <c r="B187" s="3" t="s">
        <v>54</v>
      </c>
      <c r="C187" s="3"/>
      <c r="D187" s="9">
        <f>D186*7%</f>
        <v>0</v>
      </c>
      <c r="E187" s="9">
        <f>602.44*0.833333</f>
        <v>502.03313252000004</v>
      </c>
      <c r="F187" s="9">
        <f>'[1]SRMD2 Quarterly'!$H$166</f>
        <v>430.13600000000008</v>
      </c>
      <c r="G187" s="48">
        <f t="shared" si="30"/>
        <v>430.13600000000008</v>
      </c>
      <c r="H187" s="9">
        <f>H186*7%</f>
        <v>317.21200000000005</v>
      </c>
      <c r="I187" s="9">
        <f>I186*7%</f>
        <v>268.072</v>
      </c>
    </row>
    <row r="188" spans="1:9">
      <c r="A188" s="3"/>
      <c r="B188" s="3" t="s">
        <v>53</v>
      </c>
      <c r="C188" s="3"/>
      <c r="D188" s="9"/>
      <c r="E188" s="9">
        <f>336.59*0.833333</f>
        <v>280.49155446999998</v>
      </c>
      <c r="F188" s="9">
        <f>'[1]SRMD2 Quarterly'!$H$167</f>
        <v>145.672</v>
      </c>
      <c r="G188" s="48">
        <f t="shared" si="30"/>
        <v>145.672</v>
      </c>
      <c r="H188" s="9"/>
      <c r="I188" s="9"/>
    </row>
    <row r="189" spans="1:9">
      <c r="A189" s="3"/>
      <c r="B189" s="3" t="s">
        <v>52</v>
      </c>
      <c r="C189" s="3"/>
      <c r="D189" s="9"/>
      <c r="E189" s="9"/>
      <c r="F189" s="9">
        <v>0</v>
      </c>
      <c r="G189" s="48">
        <f t="shared" si="30"/>
        <v>0</v>
      </c>
      <c r="H189" s="9"/>
      <c r="I189" s="9"/>
    </row>
    <row r="190" spans="1:9">
      <c r="A190" s="3"/>
      <c r="B190" s="3" t="s">
        <v>51</v>
      </c>
      <c r="C190" s="3"/>
      <c r="D190" s="48">
        <v>0</v>
      </c>
      <c r="E190" s="48">
        <v>0</v>
      </c>
      <c r="F190" s="48">
        <v>0</v>
      </c>
      <c r="G190" s="48">
        <f t="shared" si="30"/>
        <v>0</v>
      </c>
      <c r="H190" s="48">
        <v>0</v>
      </c>
      <c r="I190" s="48">
        <v>0</v>
      </c>
    </row>
    <row r="191" spans="1:9">
      <c r="A191" s="3"/>
      <c r="B191" s="3" t="s">
        <v>50</v>
      </c>
      <c r="C191" s="3"/>
      <c r="D191" s="13">
        <v>0</v>
      </c>
      <c r="E191" s="13">
        <v>0</v>
      </c>
      <c r="F191" s="13">
        <v>0</v>
      </c>
      <c r="G191" s="13">
        <f t="shared" si="30"/>
        <v>0</v>
      </c>
      <c r="H191" s="13">
        <v>0</v>
      </c>
      <c r="I191" s="13">
        <v>0</v>
      </c>
    </row>
    <row r="192" spans="1:9">
      <c r="D192" s="6"/>
      <c r="E192" s="6"/>
      <c r="F192" s="6"/>
      <c r="G192" s="6"/>
      <c r="H192" s="6"/>
      <c r="I192" s="6"/>
    </row>
    <row r="193" spans="1:9">
      <c r="A193" s="3"/>
      <c r="B193" s="3"/>
      <c r="C193" s="3" t="s">
        <v>9</v>
      </c>
      <c r="D193" s="12">
        <f>SUM(D186:D191)</f>
        <v>0</v>
      </c>
      <c r="E193" s="12">
        <f>SUM(E185:E191)</f>
        <v>792406.52278499003</v>
      </c>
      <c r="F193" s="12">
        <f>SUM(F185:F191)</f>
        <v>4970.2160000000003</v>
      </c>
      <c r="G193" s="12">
        <f>SUM(G185:G191)</f>
        <v>5107.4080000000004</v>
      </c>
      <c r="H193" s="12">
        <f>SUM(H183:H191)</f>
        <v>9865.3420000000006</v>
      </c>
      <c r="I193" s="12">
        <f>SUM(I183:I191)</f>
        <v>5441.6468000000004</v>
      </c>
    </row>
    <row r="194" spans="1:9">
      <c r="A194" s="3"/>
      <c r="B194" s="3"/>
      <c r="C194" s="3"/>
      <c r="D194" s="11"/>
      <c r="E194" s="11"/>
      <c r="F194" s="11"/>
      <c r="G194" s="11"/>
      <c r="H194" s="11"/>
      <c r="I194" s="11"/>
    </row>
    <row r="195" spans="1:9">
      <c r="A195" s="3" t="s">
        <v>8</v>
      </c>
      <c r="B195" s="3"/>
      <c r="C195" s="3"/>
      <c r="D195" s="9"/>
      <c r="E195" s="9"/>
      <c r="F195" s="9"/>
      <c r="G195" s="9"/>
      <c r="H195" s="9"/>
      <c r="I195" s="9"/>
    </row>
    <row r="196" spans="1:9">
      <c r="A196" s="3"/>
      <c r="B196" s="3" t="s">
        <v>7</v>
      </c>
      <c r="C196" s="3"/>
      <c r="D196" s="9">
        <f>D186*1.5%</f>
        <v>0</v>
      </c>
      <c r="E196" s="9">
        <f>E186*1.5%</f>
        <v>71.324971469999994</v>
      </c>
      <c r="F196" s="9">
        <f>'[1]SRMD2 Quarterly'!$H$176</f>
        <v>68.101200000000006</v>
      </c>
      <c r="G196" s="48">
        <f t="shared" ref="G196:G200" si="31">IF(F196&gt;H196,F196,H196)</f>
        <v>68.101200000000006</v>
      </c>
      <c r="H196" s="9">
        <f>H186*1.5%</f>
        <v>67.974000000000004</v>
      </c>
      <c r="I196" s="9">
        <f>I186*1.5%</f>
        <v>57.443999999999996</v>
      </c>
    </row>
    <row r="197" spans="1:9">
      <c r="A197" s="3"/>
      <c r="B197" s="3" t="s">
        <v>22</v>
      </c>
      <c r="C197" s="3"/>
      <c r="D197" s="9"/>
      <c r="E197" s="9"/>
      <c r="F197" s="9">
        <v>3558.14</v>
      </c>
      <c r="G197" s="48">
        <f>F197</f>
        <v>3558.14</v>
      </c>
      <c r="H197" s="9"/>
      <c r="I197" s="9"/>
    </row>
    <row r="198" spans="1:9">
      <c r="A198" s="3"/>
      <c r="B198" s="3" t="s">
        <v>6</v>
      </c>
      <c r="C198" s="3"/>
      <c r="D198" s="11"/>
      <c r="E198" s="11"/>
      <c r="F198" s="11">
        <f>'[1]SRMD2 Quarterly'!$H$174</f>
        <v>0</v>
      </c>
      <c r="G198" s="48">
        <f t="shared" si="31"/>
        <v>0</v>
      </c>
      <c r="H198" s="11"/>
      <c r="I198" s="11"/>
    </row>
    <row r="199" spans="1:9">
      <c r="A199" s="3"/>
      <c r="B199" s="3" t="s">
        <v>49</v>
      </c>
      <c r="C199" s="3"/>
      <c r="D199" s="11"/>
      <c r="E199" s="11">
        <f>452214+334655</f>
        <v>786869</v>
      </c>
      <c r="F199" s="11">
        <v>0</v>
      </c>
      <c r="G199" s="48">
        <f t="shared" si="31"/>
        <v>0</v>
      </c>
      <c r="H199" s="11"/>
      <c r="I199" s="11"/>
    </row>
    <row r="200" spans="1:9">
      <c r="A200" s="3"/>
      <c r="B200" s="3" t="s">
        <v>48</v>
      </c>
      <c r="C200" s="3"/>
      <c r="D200" s="10">
        <v>0</v>
      </c>
      <c r="E200" s="10">
        <v>0</v>
      </c>
      <c r="F200" s="10">
        <v>0</v>
      </c>
      <c r="G200" s="13">
        <f t="shared" si="31"/>
        <v>0</v>
      </c>
      <c r="H200" s="10">
        <v>0</v>
      </c>
      <c r="I200" s="10">
        <v>0</v>
      </c>
    </row>
    <row r="201" spans="1:9">
      <c r="A201" s="3"/>
      <c r="B201" s="3"/>
      <c r="C201" s="3"/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</row>
    <row r="202" spans="1:9">
      <c r="C202" s="7" t="s">
        <v>4</v>
      </c>
      <c r="D202" s="8">
        <f t="shared" ref="D202:I202" si="32">SUM(D196:D200)</f>
        <v>0</v>
      </c>
      <c r="E202" s="8">
        <f t="shared" si="32"/>
        <v>786940.32497147005</v>
      </c>
      <c r="F202" s="8">
        <f t="shared" si="32"/>
        <v>3626.2411999999999</v>
      </c>
      <c r="G202" s="8">
        <f t="shared" si="32"/>
        <v>3626.2411999999999</v>
      </c>
      <c r="H202" s="8">
        <f t="shared" ref="H202" si="33">SUM(H196:H200)</f>
        <v>67.974000000000004</v>
      </c>
      <c r="I202" s="8">
        <f t="shared" si="32"/>
        <v>57.443999999999996</v>
      </c>
    </row>
    <row r="203" spans="1:9">
      <c r="C203" s="7"/>
      <c r="D203" s="47"/>
      <c r="E203" s="47"/>
      <c r="F203" s="47"/>
      <c r="G203" s="47"/>
      <c r="H203" s="47"/>
      <c r="I203" s="47"/>
    </row>
    <row r="204" spans="1:9" ht="13.5" thickBot="1">
      <c r="A204" s="5" t="s">
        <v>3</v>
      </c>
      <c r="B204" s="3"/>
      <c r="C204" s="3"/>
      <c r="D204" s="4">
        <f t="shared" ref="D204:I204" si="34">D193-D202</f>
        <v>0</v>
      </c>
      <c r="E204" s="4">
        <f t="shared" si="34"/>
        <v>5466.1978135199752</v>
      </c>
      <c r="F204" s="4">
        <f t="shared" si="34"/>
        <v>1343.9748000000004</v>
      </c>
      <c r="G204" s="4">
        <f t="shared" si="34"/>
        <v>1481.1668000000004</v>
      </c>
      <c r="H204" s="4">
        <f t="shared" ref="H204" si="35">H193-H202</f>
        <v>9797.3680000000004</v>
      </c>
      <c r="I204" s="4">
        <f t="shared" si="34"/>
        <v>5384.2028</v>
      </c>
    </row>
    <row r="205" spans="1:9" ht="13.5" thickTop="1">
      <c r="A205" s="3"/>
      <c r="B205" s="3"/>
      <c r="C205" s="3"/>
      <c r="D205" s="22"/>
      <c r="E205" s="22"/>
      <c r="F205" s="22"/>
      <c r="G205" s="22"/>
      <c r="H205" s="22"/>
      <c r="I205" s="22"/>
    </row>
    <row r="206" spans="1:9">
      <c r="A206" s="3"/>
      <c r="B206" s="3" t="s">
        <v>47</v>
      </c>
      <c r="C206" s="3"/>
      <c r="D206" s="2"/>
      <c r="E206" s="2">
        <f>95100/1000</f>
        <v>95.1</v>
      </c>
      <c r="F206" s="2">
        <f>113290/1000</f>
        <v>113.29</v>
      </c>
      <c r="G206" s="2">
        <f>113290/1000</f>
        <v>113.29</v>
      </c>
      <c r="H206" s="2">
        <f>113290/1000</f>
        <v>113.29</v>
      </c>
      <c r="I206" s="2">
        <f>95740/1000</f>
        <v>95.74</v>
      </c>
    </row>
    <row r="207" spans="1:9">
      <c r="A207" s="3"/>
      <c r="B207" s="3" t="s">
        <v>1</v>
      </c>
      <c r="C207" s="3"/>
      <c r="D207" s="2"/>
      <c r="E207" s="2">
        <v>50</v>
      </c>
      <c r="F207" s="2">
        <v>40</v>
      </c>
      <c r="G207" s="2">
        <v>40</v>
      </c>
      <c r="H207" s="2">
        <v>40</v>
      </c>
      <c r="I207" s="2">
        <v>40</v>
      </c>
    </row>
    <row r="208" spans="1:9">
      <c r="A208" s="3"/>
      <c r="B208" s="3" t="s">
        <v>0</v>
      </c>
      <c r="C208" s="3"/>
      <c r="D208" s="2"/>
      <c r="E208" s="2">
        <v>60</v>
      </c>
      <c r="F208" s="2">
        <v>50</v>
      </c>
      <c r="G208" s="2">
        <v>50</v>
      </c>
      <c r="H208" s="2">
        <v>50</v>
      </c>
      <c r="I208" s="2">
        <v>50</v>
      </c>
    </row>
    <row r="209" spans="1:9">
      <c r="A209" s="3"/>
      <c r="B209" s="3"/>
      <c r="C209" s="3"/>
      <c r="D209" s="2"/>
      <c r="E209" s="2"/>
      <c r="F209" s="2"/>
      <c r="G209" s="2"/>
      <c r="H209" s="2"/>
      <c r="I209" s="2"/>
    </row>
    <row r="210" spans="1:9">
      <c r="A210" s="21" t="s">
        <v>46</v>
      </c>
      <c r="B210" s="20"/>
      <c r="C210" s="20"/>
      <c r="D210" s="20"/>
      <c r="E210" s="20"/>
      <c r="F210" s="20"/>
      <c r="G210" s="20"/>
      <c r="H210" s="20"/>
      <c r="I210" s="20"/>
    </row>
    <row r="211" spans="1:9">
      <c r="A211" s="21" t="str">
        <f>A2</f>
        <v xml:space="preserve"> 2016 AMENDED AND 2017 BUDGET</v>
      </c>
      <c r="B211" s="20"/>
      <c r="C211" s="20"/>
      <c r="D211" s="20"/>
      <c r="E211" s="20"/>
      <c r="F211" s="20"/>
      <c r="G211" s="20"/>
      <c r="H211" s="20"/>
      <c r="I211" s="20"/>
    </row>
    <row r="212" spans="1:9">
      <c r="A212" s="21" t="s">
        <v>45</v>
      </c>
      <c r="B212" s="20"/>
      <c r="C212" s="20"/>
      <c r="D212" s="20"/>
      <c r="E212" s="20"/>
      <c r="F212" s="20"/>
      <c r="G212" s="20"/>
      <c r="H212" s="20"/>
      <c r="I212" s="20"/>
    </row>
    <row r="213" spans="1:9" s="25" customFormat="1">
      <c r="A213" s="46"/>
      <c r="B213" s="45"/>
      <c r="C213" s="45"/>
      <c r="D213" s="44"/>
      <c r="E213" s="44"/>
      <c r="F213" s="44"/>
      <c r="G213" s="44"/>
      <c r="H213" s="44"/>
      <c r="I213" s="44"/>
    </row>
    <row r="214" spans="1:9" s="25" customFormat="1" ht="12.75" customHeight="1">
      <c r="C214" s="66"/>
    </row>
    <row r="215" spans="1:9" s="25" customFormat="1" ht="12.75" customHeight="1">
      <c r="A215" s="27"/>
      <c r="B215" s="27"/>
      <c r="C215" s="67"/>
      <c r="D215" s="43">
        <v>2014</v>
      </c>
      <c r="E215" s="68">
        <v>2015</v>
      </c>
      <c r="F215" s="68">
        <f>F5</f>
        <v>2016</v>
      </c>
      <c r="G215" s="68">
        <f>G5</f>
        <v>2016</v>
      </c>
      <c r="H215" s="64">
        <f>H5</f>
        <v>2016</v>
      </c>
      <c r="I215" s="64">
        <f>I5</f>
        <v>2017</v>
      </c>
    </row>
    <row r="216" spans="1:9" s="25" customFormat="1" ht="12.75" customHeight="1">
      <c r="A216" s="27"/>
      <c r="B216" s="27"/>
      <c r="C216" s="67"/>
      <c r="D216" s="41" t="s">
        <v>15</v>
      </c>
      <c r="E216" s="65" t="s">
        <v>17</v>
      </c>
      <c r="F216" s="65" t="s">
        <v>17</v>
      </c>
      <c r="G216" s="65" t="s">
        <v>16</v>
      </c>
      <c r="H216" s="65" t="s">
        <v>15</v>
      </c>
      <c r="I216" s="65" t="s">
        <v>15</v>
      </c>
    </row>
    <row r="217" spans="1:9" s="25" customFormat="1">
      <c r="D217" s="42"/>
      <c r="E217" s="17"/>
      <c r="F217" s="61"/>
      <c r="G217" s="17"/>
      <c r="H217" s="17"/>
      <c r="I217" s="17"/>
    </row>
    <row r="218" spans="1:9" s="25" customFormat="1">
      <c r="D218" s="41"/>
      <c r="E218" s="41"/>
      <c r="F218" s="41"/>
      <c r="G218" s="41"/>
      <c r="H218" s="41"/>
      <c r="I218" s="41"/>
    </row>
    <row r="219" spans="1:9" s="25" customFormat="1">
      <c r="A219" s="40" t="s">
        <v>44</v>
      </c>
      <c r="B219" s="39"/>
      <c r="C219" s="39"/>
      <c r="D219" s="38">
        <v>0</v>
      </c>
      <c r="E219" s="38">
        <v>0</v>
      </c>
      <c r="F219" s="38">
        <v>7596630.6900000004</v>
      </c>
      <c r="G219" s="38">
        <v>7596630.6900000004</v>
      </c>
      <c r="H219" s="38">
        <v>7596630.6900000004</v>
      </c>
      <c r="I219" s="38">
        <f>F247</f>
        <v>4432789.9500000011</v>
      </c>
    </row>
    <row r="220" spans="1:9" s="25" customFormat="1">
      <c r="D220" s="31"/>
      <c r="E220" s="31"/>
      <c r="F220" s="31"/>
      <c r="G220" s="31"/>
      <c r="H220" s="31"/>
      <c r="I220" s="31"/>
    </row>
    <row r="221" spans="1:9" s="25" customFormat="1">
      <c r="A221" s="27" t="s">
        <v>43</v>
      </c>
      <c r="B221" s="27"/>
      <c r="C221" s="27"/>
      <c r="D221" s="37"/>
      <c r="E221" s="37">
        <v>8275536.5499999998</v>
      </c>
      <c r="F221" s="37">
        <f>'[1]SRMD2 Quarterly'!$H$196</f>
        <v>0</v>
      </c>
      <c r="G221" s="48">
        <f t="shared" ref="G221:G223" si="36">IF(F221&gt;H221,F221,H221)</f>
        <v>0</v>
      </c>
      <c r="H221" s="37">
        <v>0</v>
      </c>
      <c r="I221" s="37">
        <v>0</v>
      </c>
    </row>
    <row r="222" spans="1:9" s="25" customFormat="1">
      <c r="A222" s="27"/>
      <c r="B222" s="36" t="s">
        <v>42</v>
      </c>
      <c r="C222" s="36"/>
      <c r="D222" s="33"/>
      <c r="E222" s="33"/>
      <c r="F222" s="33">
        <f>'[1]SRMD2 Quarterly'!$H$197</f>
        <v>0</v>
      </c>
      <c r="G222" s="48">
        <f t="shared" si="36"/>
        <v>0</v>
      </c>
      <c r="H222" s="33"/>
      <c r="I222" s="33"/>
    </row>
    <row r="223" spans="1:9" s="25" customFormat="1">
      <c r="A223" s="27"/>
      <c r="B223" s="27" t="s">
        <v>25</v>
      </c>
      <c r="C223" s="27"/>
      <c r="D223" s="33">
        <v>55000</v>
      </c>
      <c r="E223" s="33"/>
      <c r="F223" s="33">
        <f>'[1]SRMD2 Quarterly'!$H$198</f>
        <v>0</v>
      </c>
      <c r="G223" s="48">
        <f t="shared" si="36"/>
        <v>0</v>
      </c>
      <c r="H223" s="33"/>
      <c r="I223" s="33"/>
    </row>
    <row r="224" spans="1:9" s="25" customFormat="1">
      <c r="A224" s="27"/>
      <c r="B224" s="27" t="s">
        <v>41</v>
      </c>
      <c r="C224" s="27"/>
      <c r="D224" s="35"/>
      <c r="E224" s="35">
        <v>712.71400000000006</v>
      </c>
      <c r="F224" s="35">
        <v>33683.370000000003</v>
      </c>
      <c r="G224" s="13">
        <f>IF(F224&gt;H224,F224,H224)+5000</f>
        <v>38683.370000000003</v>
      </c>
      <c r="H224" s="35"/>
      <c r="I224" s="35"/>
    </row>
    <row r="225" spans="1:9" s="25" customFormat="1">
      <c r="D225" s="34"/>
      <c r="E225" s="34"/>
      <c r="F225" s="34"/>
      <c r="G225" s="34"/>
      <c r="H225" s="34"/>
      <c r="I225" s="34"/>
    </row>
    <row r="226" spans="1:9" s="25" customFormat="1">
      <c r="A226" s="27"/>
      <c r="B226" s="27"/>
      <c r="C226" s="27" t="s">
        <v>9</v>
      </c>
      <c r="D226" s="35">
        <f>SUM(D222:D224)</f>
        <v>55000</v>
      </c>
      <c r="E226" s="35">
        <f>SUM(E221:E224)</f>
        <v>8276249.2639999995</v>
      </c>
      <c r="F226" s="35">
        <f>SUM(F221:F224)</f>
        <v>33683.370000000003</v>
      </c>
      <c r="G226" s="35">
        <f>SUM(G221:G224)</f>
        <v>38683.370000000003</v>
      </c>
      <c r="H226" s="35">
        <f>SUM(H221:H224)</f>
        <v>0</v>
      </c>
      <c r="I226" s="35">
        <f>SUM(I221:I224)</f>
        <v>0</v>
      </c>
    </row>
    <row r="227" spans="1:9" s="25" customFormat="1">
      <c r="D227" s="34"/>
      <c r="E227" s="34"/>
      <c r="F227" s="34"/>
      <c r="G227" s="34"/>
      <c r="H227" s="34"/>
      <c r="I227" s="34"/>
    </row>
    <row r="228" spans="1:9" s="25" customFormat="1">
      <c r="A228" s="27" t="s">
        <v>40</v>
      </c>
      <c r="B228" s="27"/>
      <c r="C228" s="27"/>
      <c r="D228" s="35">
        <f t="shared" ref="D228:I228" si="37">D226+D219</f>
        <v>55000</v>
      </c>
      <c r="E228" s="35">
        <f t="shared" si="37"/>
        <v>8276249.2639999995</v>
      </c>
      <c r="F228" s="35">
        <f t="shared" si="37"/>
        <v>7630314.0600000005</v>
      </c>
      <c r="G228" s="35">
        <f t="shared" si="37"/>
        <v>7635314.0600000005</v>
      </c>
      <c r="H228" s="35">
        <f t="shared" ref="H228" si="38">H226+H219</f>
        <v>7596630.6900000004</v>
      </c>
      <c r="I228" s="35">
        <f t="shared" si="37"/>
        <v>4432789.9500000011</v>
      </c>
    </row>
    <row r="229" spans="1:9" s="25" customFormat="1">
      <c r="D229" s="34"/>
      <c r="E229" s="34"/>
      <c r="F229" s="34"/>
      <c r="G229" s="34"/>
      <c r="H229" s="34"/>
      <c r="I229" s="34"/>
    </row>
    <row r="230" spans="1:9" s="25" customFormat="1">
      <c r="A230" s="27" t="s">
        <v>8</v>
      </c>
      <c r="B230" s="27"/>
      <c r="C230" s="27"/>
      <c r="D230" s="33"/>
      <c r="E230" s="33"/>
      <c r="F230" s="33"/>
      <c r="G230" s="33"/>
      <c r="H230" s="33"/>
      <c r="I230" s="33"/>
    </row>
    <row r="231" spans="1:9" s="25" customFormat="1">
      <c r="A231" s="27"/>
      <c r="B231" s="27" t="s">
        <v>39</v>
      </c>
      <c r="C231" s="27"/>
      <c r="D231" s="33">
        <v>0</v>
      </c>
      <c r="E231" s="33"/>
      <c r="F231" s="33">
        <v>0</v>
      </c>
      <c r="G231" s="48">
        <f t="shared" ref="G231:G243" si="39">IF(F231&gt;H231,F231,H231)</f>
        <v>0</v>
      </c>
      <c r="H231" s="33"/>
      <c r="I231" s="33"/>
    </row>
    <row r="232" spans="1:9" s="25" customFormat="1">
      <c r="A232" s="27"/>
      <c r="B232" s="27" t="s">
        <v>38</v>
      </c>
      <c r="C232" s="27"/>
      <c r="D232" s="33">
        <v>55000</v>
      </c>
      <c r="E232" s="33">
        <f>416649.37+262969.2-16837.94-40379.94-50000</f>
        <v>572400.69000000018</v>
      </c>
      <c r="F232" s="33">
        <f>1949873.12+162453.03</f>
        <v>2112326.15</v>
      </c>
      <c r="G232" s="48">
        <v>2200000</v>
      </c>
      <c r="H232" s="33">
        <f>6598600.55-300000</f>
        <v>6298600.5499999998</v>
      </c>
      <c r="I232" s="33">
        <v>3934589.95</v>
      </c>
    </row>
    <row r="233" spans="1:9" s="25" customFormat="1">
      <c r="A233" s="27"/>
      <c r="B233" s="27" t="s">
        <v>37</v>
      </c>
      <c r="C233" s="27"/>
      <c r="D233" s="33"/>
      <c r="E233" s="33">
        <v>50000</v>
      </c>
      <c r="F233" s="33">
        <v>45000</v>
      </c>
      <c r="G233" s="48">
        <v>50000</v>
      </c>
      <c r="H233" s="33">
        <f>15000*12</f>
        <v>180000</v>
      </c>
      <c r="I233" s="33">
        <f>5000*12</f>
        <v>60000</v>
      </c>
    </row>
    <row r="234" spans="1:9" s="25" customFormat="1">
      <c r="A234" s="27"/>
      <c r="B234" s="27" t="s">
        <v>36</v>
      </c>
      <c r="C234" s="27"/>
      <c r="D234" s="33"/>
      <c r="E234" s="33"/>
      <c r="F234" s="33">
        <v>875657.36</v>
      </c>
      <c r="G234" s="48">
        <f t="shared" si="39"/>
        <v>875657.36</v>
      </c>
      <c r="H234" s="33"/>
      <c r="I234" s="33">
        <v>300000</v>
      </c>
    </row>
    <row r="235" spans="1:9" s="25" customFormat="1">
      <c r="A235" s="27"/>
      <c r="B235" s="27" t="s">
        <v>35</v>
      </c>
      <c r="C235" s="27"/>
      <c r="D235" s="33"/>
      <c r="E235" s="33">
        <v>16837.939999999999</v>
      </c>
      <c r="F235" s="33">
        <v>46388.47</v>
      </c>
      <c r="G235" s="48">
        <f t="shared" si="39"/>
        <v>46388.47</v>
      </c>
      <c r="H235" s="33">
        <v>24000</v>
      </c>
      <c r="I235" s="33">
        <v>24000</v>
      </c>
    </row>
    <row r="236" spans="1:9" s="25" customFormat="1">
      <c r="A236" s="27"/>
      <c r="B236" s="27" t="s">
        <v>22</v>
      </c>
      <c r="C236" s="27"/>
      <c r="D236" s="31"/>
      <c r="E236" s="31"/>
      <c r="F236" s="31">
        <v>6055.07</v>
      </c>
      <c r="G236" s="48">
        <f>IF(F236&gt;H236,F236,H236)+1100</f>
        <v>7155.07</v>
      </c>
      <c r="H236" s="31"/>
      <c r="I236" s="31">
        <v>6200</v>
      </c>
    </row>
    <row r="237" spans="1:9" s="25" customFormat="1">
      <c r="A237" s="27"/>
      <c r="B237" s="27" t="s">
        <v>34</v>
      </c>
      <c r="C237" s="27"/>
      <c r="D237" s="33"/>
      <c r="E237" s="33">
        <v>0</v>
      </c>
      <c r="F237" s="33">
        <v>55000</v>
      </c>
      <c r="G237" s="48">
        <v>55000</v>
      </c>
      <c r="H237" s="33">
        <v>0</v>
      </c>
      <c r="I237" s="33">
        <v>60000</v>
      </c>
    </row>
    <row r="238" spans="1:9" s="25" customFormat="1">
      <c r="A238" s="27"/>
      <c r="B238" s="27" t="s">
        <v>33</v>
      </c>
      <c r="C238" s="27"/>
      <c r="D238" s="33"/>
      <c r="E238" s="33">
        <v>40379.94</v>
      </c>
      <c r="F238" s="33">
        <v>52000</v>
      </c>
      <c r="G238" s="48">
        <f t="shared" si="39"/>
        <v>52000</v>
      </c>
      <c r="H238" s="33">
        <v>48000</v>
      </c>
      <c r="I238" s="33">
        <v>48000</v>
      </c>
    </row>
    <row r="239" spans="1:9" s="25" customFormat="1">
      <c r="A239" s="27"/>
      <c r="B239" s="27" t="s">
        <v>32</v>
      </c>
      <c r="C239" s="27"/>
      <c r="D239" s="33"/>
      <c r="E239" s="33"/>
      <c r="F239" s="33">
        <f>'[1]SRMD2 Quarterly'!$H$214</f>
        <v>5097.0600000000004</v>
      </c>
      <c r="G239" s="48">
        <f t="shared" si="39"/>
        <v>5097.0600000000004</v>
      </c>
      <c r="H239" s="33"/>
      <c r="I239" s="33"/>
    </row>
    <row r="240" spans="1:9" s="25" customFormat="1">
      <c r="A240" s="27"/>
      <c r="B240" s="27" t="s">
        <v>31</v>
      </c>
      <c r="C240" s="27"/>
      <c r="D240" s="33"/>
      <c r="E240" s="33"/>
      <c r="F240" s="33">
        <f>'[1]SRMD2 Quarterly'!$H$215</f>
        <v>0</v>
      </c>
      <c r="G240" s="48">
        <f t="shared" si="39"/>
        <v>0</v>
      </c>
      <c r="H240" s="33"/>
      <c r="I240" s="33"/>
    </row>
    <row r="241" spans="1:10" s="25" customFormat="1">
      <c r="A241" s="27"/>
      <c r="B241" s="27" t="s">
        <v>30</v>
      </c>
      <c r="C241" s="27"/>
      <c r="D241" s="33"/>
      <c r="E241" s="33"/>
      <c r="F241" s="33">
        <f>'[1]SRMD2 Quarterly'!$H$216</f>
        <v>0</v>
      </c>
      <c r="G241" s="48">
        <f t="shared" si="39"/>
        <v>0</v>
      </c>
      <c r="H241" s="33"/>
      <c r="I241" s="33"/>
    </row>
    <row r="242" spans="1:10" s="25" customFormat="1">
      <c r="A242" s="27"/>
      <c r="B242" s="27" t="s">
        <v>29</v>
      </c>
      <c r="C242" s="27"/>
      <c r="D242" s="33"/>
      <c r="E242" s="33"/>
      <c r="F242" s="33">
        <f>'[1]SRMD2 Quarterly'!$H$217</f>
        <v>0</v>
      </c>
      <c r="G242" s="48">
        <f t="shared" si="39"/>
        <v>0</v>
      </c>
      <c r="H242" s="33"/>
      <c r="I242" s="33"/>
    </row>
    <row r="243" spans="1:10" s="25" customFormat="1">
      <c r="A243" s="27"/>
      <c r="B243" s="27" t="s">
        <v>28</v>
      </c>
      <c r="C243" s="27"/>
      <c r="D243" s="32"/>
      <c r="E243" s="32"/>
      <c r="F243" s="32">
        <f>'[1]SRMD2 Quarterly'!$H$218</f>
        <v>0</v>
      </c>
      <c r="G243" s="13">
        <f t="shared" si="39"/>
        <v>0</v>
      </c>
      <c r="H243" s="32"/>
      <c r="I243" s="32"/>
    </row>
    <row r="244" spans="1:10" s="25" customFormat="1">
      <c r="D244" s="31"/>
      <c r="E244" s="31"/>
      <c r="F244" s="31"/>
      <c r="G244" s="31"/>
      <c r="H244" s="31"/>
      <c r="I244" s="31"/>
    </row>
    <row r="245" spans="1:10" s="25" customFormat="1">
      <c r="A245" s="27"/>
      <c r="B245" s="27"/>
      <c r="C245" s="25" t="s">
        <v>4</v>
      </c>
      <c r="D245" s="30">
        <f t="shared" ref="D245:I245" si="40">SUM(D232:D243)</f>
        <v>55000</v>
      </c>
      <c r="E245" s="30">
        <f t="shared" si="40"/>
        <v>679618.57000000007</v>
      </c>
      <c r="F245" s="30">
        <f t="shared" si="40"/>
        <v>3197524.11</v>
      </c>
      <c r="G245" s="30">
        <f t="shared" si="40"/>
        <v>3291297.96</v>
      </c>
      <c r="H245" s="30">
        <f t="shared" ref="H245" si="41">SUM(H232:H243)</f>
        <v>6550600.5499999998</v>
      </c>
      <c r="I245" s="30">
        <f t="shared" si="40"/>
        <v>4432789.95</v>
      </c>
    </row>
    <row r="246" spans="1:10" s="25" customFormat="1">
      <c r="D246" s="29"/>
      <c r="E246" s="29"/>
      <c r="F246" s="29"/>
      <c r="G246" s="29"/>
      <c r="H246" s="29"/>
      <c r="I246" s="29"/>
      <c r="J246" s="72"/>
    </row>
    <row r="247" spans="1:10" s="25" customFormat="1" ht="13.5" thickBot="1">
      <c r="A247" s="28" t="s">
        <v>3</v>
      </c>
      <c r="B247" s="27"/>
      <c r="C247" s="27"/>
      <c r="D247" s="26">
        <f t="shared" ref="D247:I247" si="42">D228-D245</f>
        <v>0</v>
      </c>
      <c r="E247" s="26">
        <f t="shared" si="42"/>
        <v>7596630.6939999992</v>
      </c>
      <c r="F247" s="26">
        <f t="shared" si="42"/>
        <v>4432789.9500000011</v>
      </c>
      <c r="G247" s="26">
        <f t="shared" si="42"/>
        <v>4344016.1000000006</v>
      </c>
      <c r="H247" s="26">
        <f t="shared" ref="H247" si="43">H228-H245</f>
        <v>1046030.1400000006</v>
      </c>
      <c r="I247" s="26">
        <f t="shared" si="42"/>
        <v>0</v>
      </c>
    </row>
    <row r="248" spans="1:10" ht="13.5" thickTop="1">
      <c r="A248" s="3"/>
      <c r="B248" s="3"/>
      <c r="C248" s="3"/>
      <c r="D248" s="2"/>
      <c r="E248" s="2"/>
      <c r="F248" s="2"/>
      <c r="G248" s="2"/>
      <c r="H248" s="2"/>
      <c r="I248" s="2"/>
      <c r="J248" s="71"/>
    </row>
    <row r="249" spans="1:10">
      <c r="A249" s="21" t="str">
        <f>A126</f>
        <v>STERLING RANCH METROPOLITAN DISTRICT</v>
      </c>
      <c r="B249" s="20"/>
      <c r="C249" s="20"/>
      <c r="D249" s="20"/>
      <c r="E249" s="20"/>
      <c r="F249" s="20"/>
      <c r="G249" s="20"/>
      <c r="H249" s="70"/>
      <c r="I249" s="70"/>
    </row>
    <row r="250" spans="1:10">
      <c r="A250" s="21" t="str">
        <f>A2</f>
        <v xml:space="preserve"> 2016 AMENDED AND 2017 BUDGET</v>
      </c>
      <c r="B250" s="20"/>
      <c r="C250" s="20"/>
      <c r="D250" s="20"/>
      <c r="E250" s="20"/>
      <c r="F250" s="20"/>
      <c r="G250" s="20"/>
      <c r="H250" s="20"/>
      <c r="I250" s="20"/>
    </row>
    <row r="251" spans="1:10">
      <c r="A251" s="21" t="s">
        <v>27</v>
      </c>
      <c r="B251" s="20"/>
      <c r="C251" s="20"/>
      <c r="D251" s="20"/>
      <c r="E251" s="20"/>
      <c r="F251" s="20"/>
      <c r="G251" s="20"/>
      <c r="H251" s="20"/>
      <c r="I251" s="20"/>
    </row>
    <row r="252" spans="1:10">
      <c r="A252" s="21"/>
      <c r="B252" s="20"/>
      <c r="C252" s="20"/>
      <c r="D252" s="20"/>
      <c r="E252" s="20"/>
      <c r="F252" s="20"/>
      <c r="G252" s="20"/>
      <c r="H252" s="20"/>
      <c r="I252" s="20"/>
    </row>
    <row r="253" spans="1:10" ht="12.75" customHeight="1">
      <c r="C253" s="62"/>
    </row>
    <row r="254" spans="1:10" ht="12.75" customHeight="1">
      <c r="A254" s="3"/>
      <c r="B254" s="3"/>
      <c r="C254" s="63"/>
      <c r="D254" s="19">
        <v>2014</v>
      </c>
      <c r="E254" s="64">
        <v>2015</v>
      </c>
      <c r="F254" s="64">
        <f>F5</f>
        <v>2016</v>
      </c>
      <c r="G254" s="64">
        <f>G5</f>
        <v>2016</v>
      </c>
      <c r="H254" s="64">
        <f>H5</f>
        <v>2016</v>
      </c>
      <c r="I254" s="64">
        <f>I5</f>
        <v>2017</v>
      </c>
    </row>
    <row r="255" spans="1:10" ht="12.75" customHeight="1">
      <c r="A255" s="3"/>
      <c r="B255" s="3"/>
      <c r="C255" s="63"/>
      <c r="D255" s="17" t="s">
        <v>15</v>
      </c>
      <c r="E255" s="65" t="s">
        <v>17</v>
      </c>
      <c r="F255" s="65" t="s">
        <v>17</v>
      </c>
      <c r="G255" s="65" t="s">
        <v>16</v>
      </c>
      <c r="H255" s="65" t="s">
        <v>15</v>
      </c>
      <c r="I255" s="65" t="s">
        <v>15</v>
      </c>
    </row>
    <row r="256" spans="1:10">
      <c r="D256" s="18"/>
      <c r="E256" s="17"/>
      <c r="F256" s="61"/>
      <c r="G256" s="17"/>
      <c r="H256" s="17"/>
      <c r="I256" s="17"/>
    </row>
    <row r="257" spans="1:9">
      <c r="D257" s="17"/>
      <c r="E257" s="17"/>
      <c r="F257" s="17"/>
      <c r="G257" s="17"/>
      <c r="H257" s="17"/>
      <c r="I257" s="17"/>
    </row>
    <row r="258" spans="1:9">
      <c r="A258" s="24" t="s">
        <v>26</v>
      </c>
      <c r="B258" s="23"/>
      <c r="C258" s="23"/>
      <c r="D258" s="14">
        <v>0</v>
      </c>
      <c r="E258" s="14">
        <v>0</v>
      </c>
      <c r="F258" s="14">
        <v>1209.8800000000001</v>
      </c>
      <c r="G258" s="14">
        <v>1209.8800000000001</v>
      </c>
      <c r="H258" s="14">
        <v>0</v>
      </c>
      <c r="I258" s="14">
        <f>F277</f>
        <v>1432.57512</v>
      </c>
    </row>
    <row r="259" spans="1:9">
      <c r="D259" s="6"/>
      <c r="E259" s="6"/>
      <c r="F259" s="6"/>
      <c r="G259" s="6"/>
      <c r="H259" s="6"/>
      <c r="I259" s="6"/>
    </row>
    <row r="260" spans="1:9">
      <c r="A260" s="3" t="s">
        <v>13</v>
      </c>
      <c r="B260" s="3"/>
      <c r="C260" s="3"/>
      <c r="D260" s="9"/>
      <c r="E260" s="9">
        <v>289.7</v>
      </c>
      <c r="F260" s="9">
        <f>'[1]SRMD2 Quarterly'!$H$235</f>
        <v>0</v>
      </c>
      <c r="G260" s="48">
        <v>0</v>
      </c>
      <c r="H260" s="9">
        <v>530.57000000000005</v>
      </c>
      <c r="I260" s="9"/>
    </row>
    <row r="261" spans="1:9">
      <c r="A261" s="3"/>
      <c r="B261" s="3" t="s">
        <v>25</v>
      </c>
      <c r="C261" s="3"/>
      <c r="D261" s="9"/>
      <c r="E261" s="9"/>
      <c r="F261" s="9">
        <f>'[1]SRMD2 Quarterly'!$H$239</f>
        <v>475</v>
      </c>
      <c r="G261" s="48">
        <f t="shared" ref="G261:G264" si="44">IF(F261&gt;H261,F261,H261)</f>
        <v>475</v>
      </c>
      <c r="H261" s="9"/>
      <c r="I261" s="9">
        <v>300</v>
      </c>
    </row>
    <row r="262" spans="1:9">
      <c r="A262" s="3"/>
      <c r="B262" s="3" t="s">
        <v>24</v>
      </c>
      <c r="C262" s="3"/>
      <c r="D262" s="9">
        <f>D279*D280</f>
        <v>0</v>
      </c>
      <c r="E262" s="9">
        <f>1656.6*0.166667</f>
        <v>276.10055219999998</v>
      </c>
      <c r="F262" s="9">
        <f>'[1]SRMD2 Quarterly'!$H$240</f>
        <v>202.3</v>
      </c>
      <c r="G262" s="48">
        <f t="shared" si="44"/>
        <v>202.3</v>
      </c>
      <c r="H262" s="9">
        <f>H279*H280</f>
        <v>202.3</v>
      </c>
      <c r="I262" s="9">
        <f>I279*I280</f>
        <v>197.8</v>
      </c>
    </row>
    <row r="263" spans="1:9">
      <c r="A263" s="3"/>
      <c r="B263" s="3" t="s">
        <v>11</v>
      </c>
      <c r="C263" s="3"/>
      <c r="D263" s="9">
        <f>D262*7%</f>
        <v>0</v>
      </c>
      <c r="E263" s="11">
        <f>220.02*0.166667</f>
        <v>36.670073340000002</v>
      </c>
      <c r="F263" s="11">
        <f>'[1]SRMD2 Quarterly'!$H$241</f>
        <v>19.201999999999998</v>
      </c>
      <c r="G263" s="48">
        <f t="shared" si="44"/>
        <v>19.201999999999998</v>
      </c>
      <c r="H263" s="9">
        <f>H262*7%</f>
        <v>14.161000000000001</v>
      </c>
      <c r="I263" s="9">
        <f>I262*7%</f>
        <v>13.846000000000002</v>
      </c>
    </row>
    <row r="264" spans="1:9">
      <c r="A264" s="3"/>
      <c r="B264" s="3" t="s">
        <v>10</v>
      </c>
      <c r="C264" s="3"/>
      <c r="D264" s="11"/>
      <c r="E264" s="6">
        <f>1.56*0.166667</f>
        <v>0.26000052000000001</v>
      </c>
      <c r="F264" s="6">
        <f>'[1]SRMD2 Quarterly'!$H$242</f>
        <v>4.2919999999999998</v>
      </c>
      <c r="G264" s="48">
        <f t="shared" si="44"/>
        <v>4.2919999999999998</v>
      </c>
      <c r="H264" s="11"/>
      <c r="I264" s="11"/>
    </row>
    <row r="265" spans="1:9">
      <c r="D265" s="6"/>
      <c r="E265" s="6"/>
      <c r="F265" s="6"/>
      <c r="G265" s="6"/>
      <c r="H265" s="6"/>
      <c r="I265" s="6"/>
    </row>
    <row r="266" spans="1:9">
      <c r="A266" s="3"/>
      <c r="B266" s="3"/>
      <c r="C266" s="3" t="s">
        <v>9</v>
      </c>
      <c r="D266" s="12">
        <f>SUM(D262:D264)</f>
        <v>0</v>
      </c>
      <c r="E266" s="12">
        <f>SUM(E260:E264)</f>
        <v>602.73062605999996</v>
      </c>
      <c r="F266" s="12">
        <f>SUM(F258:F264)</f>
        <v>1910.674</v>
      </c>
      <c r="G266" s="12">
        <f>SUM(G258:G264)</f>
        <v>1910.674</v>
      </c>
      <c r="H266" s="12">
        <f>SUM(H260:H264)</f>
        <v>747.03100000000018</v>
      </c>
      <c r="I266" s="12">
        <f>SUM(I260:I264)</f>
        <v>511.64600000000002</v>
      </c>
    </row>
    <row r="267" spans="1:9">
      <c r="A267" s="3"/>
      <c r="B267" s="3"/>
      <c r="C267" s="3"/>
      <c r="D267" s="11"/>
      <c r="E267" s="11"/>
      <c r="F267" s="11"/>
      <c r="G267" s="11"/>
      <c r="H267" s="11"/>
      <c r="I267" s="11"/>
    </row>
    <row r="268" spans="1:9">
      <c r="A268" s="3" t="s">
        <v>8</v>
      </c>
      <c r="B268" s="3"/>
      <c r="C268" s="3"/>
      <c r="D268" s="9"/>
      <c r="E268" s="9"/>
      <c r="F268" s="9"/>
      <c r="G268" s="9"/>
      <c r="H268" s="9"/>
      <c r="I268" s="9"/>
    </row>
    <row r="269" spans="1:9">
      <c r="A269" s="3"/>
      <c r="B269" s="3" t="s">
        <v>23</v>
      </c>
      <c r="C269" s="3"/>
      <c r="D269" s="9"/>
      <c r="E269" s="9"/>
      <c r="F269" s="9">
        <v>0</v>
      </c>
      <c r="G269" s="48">
        <f t="shared" ref="G269:G273" si="45">IF(F269&gt;H269,F269,H269)</f>
        <v>0</v>
      </c>
      <c r="H269" s="9"/>
      <c r="I269" s="9"/>
    </row>
    <row r="270" spans="1:9">
      <c r="A270" s="3"/>
      <c r="B270" s="3" t="s">
        <v>22</v>
      </c>
      <c r="C270" s="3"/>
      <c r="D270" s="9"/>
      <c r="E270" s="9">
        <f>12+12+12+12</f>
        <v>48</v>
      </c>
      <c r="F270" s="9">
        <v>0</v>
      </c>
      <c r="G270" s="48">
        <f t="shared" si="45"/>
        <v>144</v>
      </c>
      <c r="H270" s="9">
        <f>12*12</f>
        <v>144</v>
      </c>
      <c r="I270" s="9">
        <f>12*12</f>
        <v>144</v>
      </c>
    </row>
    <row r="271" spans="1:9">
      <c r="A271" s="3"/>
      <c r="B271" s="3" t="s">
        <v>7</v>
      </c>
      <c r="C271" s="3"/>
      <c r="D271" s="9">
        <f>D262*1.5%</f>
        <v>0</v>
      </c>
      <c r="E271" s="9">
        <f>(E262+E264)*1.5%</f>
        <v>4.1454082907999998</v>
      </c>
      <c r="F271" s="9">
        <f>'[1]SRMD2 Quarterly'!$H$249</f>
        <v>3.0988799999999999</v>
      </c>
      <c r="G271" s="48">
        <f t="shared" si="45"/>
        <v>3.0988799999999999</v>
      </c>
      <c r="H271" s="9">
        <f>H262*1.5%</f>
        <v>3.0345</v>
      </c>
      <c r="I271" s="9">
        <f>I262*1.5%</f>
        <v>2.9670000000000001</v>
      </c>
    </row>
    <row r="272" spans="1:9">
      <c r="A272" s="3"/>
      <c r="B272" s="3" t="s">
        <v>21</v>
      </c>
      <c r="C272" s="3"/>
      <c r="D272" s="9"/>
      <c r="E272" s="9">
        <v>250</v>
      </c>
      <c r="F272" s="9">
        <f>'[1]SRMD2 Quarterly'!$H$250</f>
        <v>475</v>
      </c>
      <c r="G272" s="48">
        <f t="shared" si="45"/>
        <v>475</v>
      </c>
      <c r="H272" s="9">
        <v>250</v>
      </c>
      <c r="I272" s="9">
        <v>0</v>
      </c>
    </row>
    <row r="273" spans="1:10">
      <c r="A273" s="3"/>
      <c r="B273" s="3" t="s">
        <v>20</v>
      </c>
      <c r="C273" s="3"/>
      <c r="D273" s="9"/>
      <c r="E273" s="9">
        <v>300.58999999999997</v>
      </c>
      <c r="F273" s="9">
        <v>0</v>
      </c>
      <c r="G273" s="48">
        <f t="shared" si="45"/>
        <v>350</v>
      </c>
      <c r="H273" s="9">
        <v>350</v>
      </c>
      <c r="I273" s="9">
        <v>350</v>
      </c>
    </row>
    <row r="274" spans="1:10">
      <c r="A274" s="3"/>
      <c r="B274" s="3"/>
      <c r="C274" s="3"/>
      <c r="D274" s="9"/>
      <c r="E274" s="9"/>
      <c r="F274" s="9"/>
      <c r="G274" s="9"/>
      <c r="H274" s="9"/>
      <c r="I274" s="9"/>
    </row>
    <row r="275" spans="1:10">
      <c r="C275" s="7" t="s">
        <v>4</v>
      </c>
      <c r="D275" s="8">
        <f t="shared" ref="D275:I275" si="46">SUM(D269:D273)</f>
        <v>0</v>
      </c>
      <c r="E275" s="8">
        <f t="shared" si="46"/>
        <v>602.73540829080002</v>
      </c>
      <c r="F275" s="8">
        <f t="shared" si="46"/>
        <v>478.09888000000001</v>
      </c>
      <c r="G275" s="8">
        <f t="shared" si="46"/>
        <v>972.09888000000001</v>
      </c>
      <c r="H275" s="8">
        <f t="shared" si="46"/>
        <v>747.03449999999998</v>
      </c>
      <c r="I275" s="8">
        <f t="shared" si="46"/>
        <v>496.96699999999998</v>
      </c>
    </row>
    <row r="276" spans="1:10">
      <c r="C276" s="7"/>
      <c r="D276" s="6"/>
      <c r="E276" s="6"/>
      <c r="F276" s="6"/>
      <c r="G276" s="6"/>
      <c r="H276" s="6"/>
      <c r="I276" s="6"/>
    </row>
    <row r="277" spans="1:10" ht="13.5" thickBot="1">
      <c r="A277" s="5" t="s">
        <v>3</v>
      </c>
      <c r="B277" s="3"/>
      <c r="C277" s="3"/>
      <c r="D277" s="4">
        <f t="shared" ref="D277:I277" si="47">D266-D275</f>
        <v>0</v>
      </c>
      <c r="E277" s="4">
        <f t="shared" si="47"/>
        <v>-4.7822308000604608E-3</v>
      </c>
      <c r="F277" s="4">
        <f t="shared" si="47"/>
        <v>1432.57512</v>
      </c>
      <c r="G277" s="4">
        <f t="shared" si="47"/>
        <v>938.57511999999997</v>
      </c>
      <c r="H277" s="4">
        <f t="shared" si="47"/>
        <v>-3.4999999998035491E-3</v>
      </c>
      <c r="I277" s="4">
        <f t="shared" si="47"/>
        <v>14.67900000000003</v>
      </c>
      <c r="J277" s="71"/>
    </row>
    <row r="278" spans="1:10" ht="13.5" thickTop="1">
      <c r="A278" s="3"/>
      <c r="B278" s="3"/>
      <c r="C278" s="3"/>
      <c r="D278" s="22"/>
      <c r="E278" s="22"/>
      <c r="F278" s="22"/>
      <c r="G278" s="22"/>
      <c r="H278" s="22"/>
      <c r="I278" s="22"/>
      <c r="J278" s="71"/>
    </row>
    <row r="279" spans="1:10">
      <c r="A279" s="3"/>
      <c r="B279" s="3" t="s">
        <v>2</v>
      </c>
      <c r="C279" s="3"/>
      <c r="D279" s="2"/>
      <c r="E279" s="2">
        <f>E310</f>
        <v>27.61</v>
      </c>
      <c r="F279" s="2">
        <f>F310</f>
        <v>20.23</v>
      </c>
      <c r="G279" s="2">
        <f>G310</f>
        <v>20.23</v>
      </c>
      <c r="H279" s="2">
        <f>H310</f>
        <v>20.23</v>
      </c>
      <c r="I279" s="2">
        <f>I310</f>
        <v>19.78</v>
      </c>
      <c r="J279" s="71"/>
    </row>
    <row r="280" spans="1:10">
      <c r="A280" s="3"/>
      <c r="B280" s="3" t="s">
        <v>1</v>
      </c>
      <c r="C280" s="3"/>
      <c r="D280" s="2"/>
      <c r="E280" s="2">
        <v>10</v>
      </c>
      <c r="F280" s="2">
        <v>10</v>
      </c>
      <c r="G280" s="2">
        <v>10</v>
      </c>
      <c r="H280" s="2">
        <v>10</v>
      </c>
      <c r="I280" s="2">
        <v>10</v>
      </c>
    </row>
    <row r="281" spans="1:10">
      <c r="A281" s="3"/>
      <c r="B281" s="3"/>
      <c r="C281" s="3"/>
      <c r="D281" s="2"/>
      <c r="E281" s="2"/>
      <c r="F281" s="2"/>
      <c r="G281" s="2"/>
      <c r="H281" s="2"/>
      <c r="I281" s="2"/>
    </row>
    <row r="282" spans="1:10">
      <c r="A282" s="3"/>
      <c r="B282" s="3"/>
      <c r="C282" s="3"/>
      <c r="D282" s="2"/>
      <c r="E282" s="2"/>
      <c r="F282" s="2"/>
      <c r="G282" s="2"/>
      <c r="H282" s="2"/>
      <c r="I282" s="2"/>
    </row>
    <row r="283" spans="1:10">
      <c r="A283" s="21" t="str">
        <f>A169</f>
        <v>STERLING RANCH METROPOLITAN DISTRICT</v>
      </c>
      <c r="B283" s="20"/>
      <c r="C283" s="20"/>
      <c r="D283" s="20"/>
      <c r="E283" s="20"/>
      <c r="F283" s="20"/>
      <c r="G283" s="20"/>
      <c r="H283" s="20"/>
      <c r="I283" s="20"/>
    </row>
    <row r="284" spans="1:10">
      <c r="A284" s="21" t="str">
        <f>A2</f>
        <v xml:space="preserve"> 2016 AMENDED AND 2017 BUDGET</v>
      </c>
      <c r="B284" s="20"/>
      <c r="C284" s="20"/>
      <c r="D284" s="20"/>
      <c r="E284" s="20"/>
      <c r="F284" s="20"/>
      <c r="G284" s="20"/>
      <c r="H284" s="20"/>
      <c r="I284" s="20"/>
    </row>
    <row r="285" spans="1:10">
      <c r="A285" s="21" t="s">
        <v>18</v>
      </c>
      <c r="B285" s="20"/>
      <c r="C285" s="20"/>
      <c r="D285" s="20"/>
      <c r="E285" s="20"/>
      <c r="F285" s="20"/>
      <c r="G285" s="20"/>
      <c r="H285" s="20"/>
      <c r="I285" s="20"/>
    </row>
    <row r="286" spans="1:10">
      <c r="A286" s="21"/>
      <c r="B286" s="20"/>
      <c r="C286" s="20"/>
      <c r="D286" s="20"/>
      <c r="E286" s="20"/>
      <c r="F286" s="20"/>
      <c r="G286" s="20"/>
      <c r="H286" s="20"/>
      <c r="I286" s="20"/>
    </row>
    <row r="287" spans="1:10" ht="12.75" customHeight="1">
      <c r="C287" s="62"/>
    </row>
    <row r="288" spans="1:10" ht="12.75" customHeight="1">
      <c r="A288" s="3"/>
      <c r="B288" s="3"/>
      <c r="C288" s="63"/>
      <c r="D288" s="19">
        <v>2014</v>
      </c>
      <c r="E288" s="64">
        <v>2015</v>
      </c>
      <c r="F288" s="64">
        <f>F5</f>
        <v>2016</v>
      </c>
      <c r="G288" s="64">
        <f>G5</f>
        <v>2016</v>
      </c>
      <c r="H288" s="64">
        <f>H5</f>
        <v>2016</v>
      </c>
      <c r="I288" s="64">
        <f>I5</f>
        <v>2017</v>
      </c>
    </row>
    <row r="289" spans="1:9" ht="12.75" customHeight="1">
      <c r="A289" s="3"/>
      <c r="B289" s="3"/>
      <c r="C289" s="63"/>
      <c r="D289" s="17" t="s">
        <v>15</v>
      </c>
      <c r="E289" s="65" t="s">
        <v>17</v>
      </c>
      <c r="F289" s="65" t="s">
        <v>17</v>
      </c>
      <c r="G289" s="65" t="s">
        <v>16</v>
      </c>
      <c r="H289" s="65" t="s">
        <v>15</v>
      </c>
      <c r="I289" s="65" t="s">
        <v>15</v>
      </c>
    </row>
    <row r="290" spans="1:9">
      <c r="D290" s="18"/>
      <c r="E290" s="17"/>
      <c r="F290" s="61"/>
      <c r="G290" s="17"/>
      <c r="H290" s="17"/>
      <c r="I290" s="17"/>
    </row>
    <row r="291" spans="1:9">
      <c r="D291" s="17"/>
      <c r="E291" s="17"/>
      <c r="F291" s="17"/>
      <c r="G291" s="17"/>
      <c r="H291" s="17"/>
      <c r="I291" s="17"/>
    </row>
    <row r="292" spans="1:9">
      <c r="A292" s="16" t="s">
        <v>14</v>
      </c>
      <c r="B292" s="15"/>
      <c r="C292" s="15"/>
      <c r="D292" s="14">
        <v>0</v>
      </c>
      <c r="E292" s="14">
        <v>0</v>
      </c>
      <c r="F292" s="14">
        <v>0</v>
      </c>
      <c r="G292" s="14">
        <v>0</v>
      </c>
      <c r="H292" s="14">
        <v>1193</v>
      </c>
      <c r="I292" s="14">
        <v>890.78</v>
      </c>
    </row>
    <row r="293" spans="1:9">
      <c r="D293" s="6"/>
      <c r="E293" s="6"/>
      <c r="F293" s="6"/>
      <c r="G293" s="6"/>
      <c r="H293" s="6"/>
      <c r="I293" s="6"/>
    </row>
    <row r="294" spans="1:9">
      <c r="A294" s="3" t="s">
        <v>13</v>
      </c>
      <c r="B294" s="3"/>
      <c r="C294" s="3"/>
      <c r="D294" s="9"/>
      <c r="E294" s="9"/>
      <c r="F294" s="9"/>
      <c r="G294" s="9"/>
      <c r="H294" s="9"/>
      <c r="I294" s="9"/>
    </row>
    <row r="295" spans="1:9">
      <c r="A295" s="3"/>
      <c r="B295" s="3" t="s">
        <v>12</v>
      </c>
      <c r="C295" s="3"/>
      <c r="D295" s="9">
        <f>D310*D311</f>
        <v>0</v>
      </c>
      <c r="E295" s="9">
        <f>1656.6*0.833333</f>
        <v>1380.4994477999999</v>
      </c>
      <c r="F295" s="9">
        <f>'[1]SRMD2 Quarterly'!$H$274</f>
        <v>809.2</v>
      </c>
      <c r="G295" s="48">
        <f t="shared" ref="G295:G297" si="48">IF(F295&gt;H295,F295,H295)</f>
        <v>809.2</v>
      </c>
      <c r="H295" s="9">
        <f>H310*H311</f>
        <v>809.2</v>
      </c>
      <c r="I295" s="9">
        <f>I310*I311</f>
        <v>791.2</v>
      </c>
    </row>
    <row r="296" spans="1:9">
      <c r="A296" s="3"/>
      <c r="B296" s="3" t="s">
        <v>11</v>
      </c>
      <c r="C296" s="3"/>
      <c r="D296" s="9">
        <f>D295*7%</f>
        <v>0</v>
      </c>
      <c r="E296" s="9">
        <f>220.02*0.8333333</f>
        <v>183.34999266600002</v>
      </c>
      <c r="F296" s="9">
        <f>'[1]SRMD2 Quarterly'!$H$275</f>
        <v>76.807999999999993</v>
      </c>
      <c r="G296" s="48">
        <f t="shared" si="48"/>
        <v>76.807999999999993</v>
      </c>
      <c r="H296" s="9">
        <f>H295*7%</f>
        <v>56.644000000000005</v>
      </c>
      <c r="I296" s="9">
        <f>I295*7%</f>
        <v>55.384000000000007</v>
      </c>
    </row>
    <row r="297" spans="1:9">
      <c r="A297" s="3"/>
      <c r="B297" s="3" t="s">
        <v>10</v>
      </c>
      <c r="C297" s="3"/>
      <c r="D297" s="9"/>
      <c r="E297" s="9">
        <f>1.56*0.8333333</f>
        <v>1.2999999480000002</v>
      </c>
      <c r="F297" s="9">
        <f>'[1]SRMD2 Quarterly'!$H$276</f>
        <v>17.167999999999999</v>
      </c>
      <c r="G297" s="48">
        <f t="shared" si="48"/>
        <v>17.167999999999999</v>
      </c>
      <c r="H297" s="9"/>
      <c r="I297" s="9"/>
    </row>
    <row r="298" spans="1:9">
      <c r="D298" s="6"/>
      <c r="E298" s="6"/>
      <c r="F298" s="6"/>
      <c r="G298" s="6"/>
      <c r="H298" s="6"/>
      <c r="I298" s="6"/>
    </row>
    <row r="299" spans="1:9">
      <c r="A299" s="3"/>
      <c r="B299" s="3"/>
      <c r="C299" s="3" t="s">
        <v>9</v>
      </c>
      <c r="D299" s="12">
        <f t="shared" ref="D299:I299" si="49">SUM(D295:D297)</f>
        <v>0</v>
      </c>
      <c r="E299" s="12">
        <f t="shared" si="49"/>
        <v>1565.1494404139999</v>
      </c>
      <c r="F299" s="12">
        <f t="shared" si="49"/>
        <v>903.17600000000004</v>
      </c>
      <c r="G299" s="12">
        <f t="shared" si="49"/>
        <v>903.17600000000004</v>
      </c>
      <c r="H299" s="12">
        <f t="shared" si="49"/>
        <v>865.84400000000005</v>
      </c>
      <c r="I299" s="12">
        <f t="shared" si="49"/>
        <v>846.58400000000006</v>
      </c>
    </row>
    <row r="300" spans="1:9">
      <c r="A300" s="3"/>
      <c r="B300" s="3"/>
      <c r="C300" s="3"/>
      <c r="D300" s="11"/>
      <c r="E300" s="11"/>
      <c r="F300" s="11"/>
      <c r="G300" s="11"/>
      <c r="H300" s="11"/>
      <c r="I300" s="11"/>
    </row>
    <row r="301" spans="1:9">
      <c r="A301" s="3" t="s">
        <v>8</v>
      </c>
      <c r="B301" s="3"/>
      <c r="C301" s="3"/>
      <c r="D301" s="9"/>
      <c r="E301" s="9"/>
      <c r="F301" s="9"/>
      <c r="G301" s="9"/>
      <c r="H301" s="9"/>
      <c r="I301" s="9"/>
    </row>
    <row r="302" spans="1:9">
      <c r="A302" s="3"/>
      <c r="B302" s="3" t="s">
        <v>7</v>
      </c>
      <c r="C302" s="3"/>
      <c r="D302" s="11">
        <f>D295*1.5%</f>
        <v>0</v>
      </c>
      <c r="E302" s="11">
        <f>(E295+E297)*1.5%</f>
        <v>20.726991716219999</v>
      </c>
      <c r="F302" s="11">
        <f>'[1]SRMD2 Quarterly'!$H$284</f>
        <v>12.395519999999999</v>
      </c>
      <c r="G302" s="48">
        <f t="shared" ref="G302:G303" si="50">IF(F302&gt;H302,F302,H302)</f>
        <v>12.395519999999999</v>
      </c>
      <c r="H302" s="11">
        <f>H295*1.5%</f>
        <v>12.138</v>
      </c>
      <c r="I302" s="11">
        <f>I295*1.5%</f>
        <v>11.868</v>
      </c>
    </row>
    <row r="303" spans="1:9">
      <c r="A303" s="3"/>
      <c r="B303" s="3" t="s">
        <v>6</v>
      </c>
      <c r="C303" s="3"/>
      <c r="D303" s="9"/>
      <c r="E303" s="9"/>
      <c r="F303" s="9">
        <f>'[1]SRMD2 Quarterly'!$H$282</f>
        <v>0</v>
      </c>
      <c r="G303" s="48">
        <f t="shared" si="50"/>
        <v>0</v>
      </c>
      <c r="H303" s="9"/>
      <c r="I303" s="9"/>
    </row>
    <row r="304" spans="1:9">
      <c r="A304" s="3"/>
      <c r="B304" s="3" t="s">
        <v>5</v>
      </c>
      <c r="C304" s="3"/>
      <c r="D304" s="10">
        <v>0</v>
      </c>
      <c r="E304" s="10">
        <f>E260</f>
        <v>289.7</v>
      </c>
      <c r="F304" s="10">
        <f>'[1]SRMD2 Quarterly'!$H$283</f>
        <v>0</v>
      </c>
      <c r="G304" s="13">
        <v>0</v>
      </c>
      <c r="H304" s="10">
        <f>H260</f>
        <v>530.57000000000005</v>
      </c>
      <c r="I304" s="10">
        <f>I260</f>
        <v>0</v>
      </c>
    </row>
    <row r="305" spans="1:9">
      <c r="A305" s="3"/>
      <c r="B305" s="3"/>
      <c r="C305" s="3"/>
      <c r="D305" s="9"/>
      <c r="E305" s="9"/>
      <c r="F305" s="9"/>
      <c r="G305" s="9"/>
      <c r="H305" s="9"/>
      <c r="I305" s="9"/>
    </row>
    <row r="306" spans="1:9">
      <c r="C306" s="7" t="s">
        <v>4</v>
      </c>
      <c r="D306" s="8">
        <f t="shared" ref="D306:I306" si="51">SUM(D302:D304)</f>
        <v>0</v>
      </c>
      <c r="E306" s="8">
        <f t="shared" si="51"/>
        <v>310.42699171621996</v>
      </c>
      <c r="F306" s="8">
        <f t="shared" si="51"/>
        <v>12.395519999999999</v>
      </c>
      <c r="G306" s="8">
        <f t="shared" si="51"/>
        <v>12.395519999999999</v>
      </c>
      <c r="H306" s="8">
        <f t="shared" ref="H306" si="52">SUM(H302:H304)</f>
        <v>542.70800000000008</v>
      </c>
      <c r="I306" s="8">
        <f t="shared" si="51"/>
        <v>11.868</v>
      </c>
    </row>
    <row r="307" spans="1:9">
      <c r="C307" s="7"/>
      <c r="D307" s="6"/>
      <c r="E307" s="6"/>
      <c r="F307" s="6"/>
      <c r="G307" s="6"/>
      <c r="H307" s="6"/>
      <c r="I307" s="6"/>
    </row>
    <row r="308" spans="1:9" ht="13.5" thickBot="1">
      <c r="A308" s="5" t="s">
        <v>3</v>
      </c>
      <c r="B308" s="3"/>
      <c r="C308" s="3"/>
      <c r="D308" s="4">
        <f t="shared" ref="D308:I308" si="53">D299-D306</f>
        <v>0</v>
      </c>
      <c r="E308" s="4">
        <f t="shared" si="53"/>
        <v>1254.7224486977798</v>
      </c>
      <c r="F308" s="4">
        <f t="shared" si="53"/>
        <v>890.78048000000001</v>
      </c>
      <c r="G308" s="4">
        <f t="shared" si="53"/>
        <v>890.78048000000001</v>
      </c>
      <c r="H308" s="4">
        <f t="shared" ref="H308" si="54">H299-H306</f>
        <v>323.13599999999997</v>
      </c>
      <c r="I308" s="4">
        <f t="shared" si="53"/>
        <v>834.71600000000001</v>
      </c>
    </row>
    <row r="309" spans="1:9" ht="13.5" thickTop="1"/>
    <row r="310" spans="1:9">
      <c r="B310" s="3" t="s">
        <v>2</v>
      </c>
      <c r="D310" s="2"/>
      <c r="E310" s="2">
        <f>27610/1000</f>
        <v>27.61</v>
      </c>
      <c r="F310" s="2">
        <f>20230/1000</f>
        <v>20.23</v>
      </c>
      <c r="G310" s="2">
        <f>20230/1000</f>
        <v>20.23</v>
      </c>
      <c r="H310" s="2">
        <f>20230/1000</f>
        <v>20.23</v>
      </c>
      <c r="I310" s="2">
        <f>19780/1000</f>
        <v>19.78</v>
      </c>
    </row>
    <row r="311" spans="1:9">
      <c r="B311" s="3" t="s">
        <v>1</v>
      </c>
      <c r="D311" s="2"/>
      <c r="E311" s="2">
        <v>50</v>
      </c>
      <c r="F311" s="2">
        <v>40</v>
      </c>
      <c r="G311" s="2">
        <v>40</v>
      </c>
      <c r="H311" s="2">
        <v>40</v>
      </c>
      <c r="I311" s="2">
        <v>40</v>
      </c>
    </row>
    <row r="312" spans="1:9">
      <c r="B312" s="3" t="s">
        <v>0</v>
      </c>
      <c r="D312" s="2"/>
      <c r="E312" s="2">
        <v>60</v>
      </c>
      <c r="F312" s="2">
        <v>50</v>
      </c>
      <c r="G312" s="2">
        <v>50</v>
      </c>
      <c r="H312" s="2">
        <v>50</v>
      </c>
      <c r="I312" s="2">
        <v>50</v>
      </c>
    </row>
    <row r="313" spans="1:9">
      <c r="B313" s="3"/>
      <c r="D313" s="2"/>
      <c r="E313" s="2"/>
      <c r="F313" s="2"/>
      <c r="G313" s="2"/>
      <c r="H313" s="2"/>
      <c r="I313" s="2"/>
    </row>
    <row r="314" spans="1:9">
      <c r="B314" s="3"/>
      <c r="D314" s="2"/>
      <c r="E314" s="2"/>
      <c r="F314" s="2"/>
      <c r="G314" s="2"/>
      <c r="H314" s="2"/>
      <c r="I314" s="2"/>
    </row>
    <row r="315" spans="1:9">
      <c r="B315" s="3"/>
      <c r="D315" s="2"/>
      <c r="E315" s="2"/>
      <c r="F315" s="2"/>
      <c r="G315" s="2"/>
      <c r="H315" s="2"/>
      <c r="I315" s="2"/>
    </row>
    <row r="316" spans="1:9">
      <c r="B316" s="3"/>
      <c r="D316" s="2"/>
      <c r="E316" s="2"/>
      <c r="F316" s="2"/>
      <c r="G316" s="2"/>
      <c r="H316" s="2"/>
      <c r="I316" s="2"/>
    </row>
    <row r="317" spans="1:9">
      <c r="B317" s="3"/>
      <c r="D317" s="2"/>
      <c r="E317" s="2"/>
      <c r="F317" s="2"/>
      <c r="G317" s="2"/>
      <c r="H317" s="2"/>
      <c r="I317" s="2"/>
    </row>
    <row r="318" spans="1:9">
      <c r="B318" s="3"/>
      <c r="D318" s="2"/>
      <c r="E318" s="2"/>
      <c r="F318" s="2"/>
      <c r="G318" s="2"/>
      <c r="H318" s="2"/>
      <c r="I318" s="2"/>
    </row>
    <row r="319" spans="1:9">
      <c r="B319" s="3"/>
      <c r="D319" s="2"/>
      <c r="E319" s="2"/>
      <c r="F319" s="2"/>
      <c r="G319" s="2"/>
      <c r="H319" s="2"/>
      <c r="I319" s="2"/>
    </row>
    <row r="320" spans="1:9">
      <c r="B320" s="3"/>
      <c r="D320" s="2"/>
      <c r="E320" s="2"/>
      <c r="F320" s="2"/>
      <c r="G320" s="2"/>
      <c r="H320" s="2"/>
      <c r="I320" s="2"/>
    </row>
    <row r="321" spans="2:9">
      <c r="B321" s="3"/>
      <c r="D321" s="2"/>
      <c r="E321" s="2"/>
      <c r="F321" s="2"/>
      <c r="G321" s="2"/>
      <c r="H321" s="2"/>
      <c r="I321" s="2"/>
    </row>
    <row r="322" spans="2:9">
      <c r="B322" s="3"/>
      <c r="D322" s="2"/>
      <c r="E322" s="2"/>
      <c r="F322" s="2"/>
      <c r="G322" s="2"/>
      <c r="H322" s="2"/>
      <c r="I322" s="2"/>
    </row>
    <row r="323" spans="2:9">
      <c r="B323" s="3"/>
      <c r="D323" s="2"/>
      <c r="E323" s="2"/>
      <c r="F323" s="2"/>
      <c r="G323" s="2"/>
      <c r="H323" s="2"/>
      <c r="I323" s="2"/>
    </row>
  </sheetData>
  <pageMargins left="0.92" right="0.53" top="0.5" bottom="0.65" header="0.5" footer="0.28000000000000003"/>
  <pageSetup scale="84" orientation="landscape" r:id="rId1"/>
  <headerFooter alignWithMargins="0">
    <oddFooter>&amp;R&amp;P of &amp;N
&amp;D</oddFooter>
  </headerFooter>
  <rowBreaks count="7" manualBreakCount="7">
    <brk id="50" max="16383" man="1"/>
    <brk id="125" max="16383" man="1"/>
    <brk id="168" max="16383" man="1"/>
    <brk id="209" max="16383" man="1"/>
    <brk id="248" max="16383" man="1"/>
    <brk id="282" max="16383" man="1"/>
    <brk id="32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Amended 2017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Lori</cp:lastModifiedBy>
  <cp:lastPrinted>2016-12-07T16:06:24Z</cp:lastPrinted>
  <dcterms:created xsi:type="dcterms:W3CDTF">2016-08-12T17:10:40Z</dcterms:created>
  <dcterms:modified xsi:type="dcterms:W3CDTF">2017-01-30T17:22:30Z</dcterms:modified>
</cp:coreProperties>
</file>